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USINESS PERFORMANCE MODEL " sheetId="1" r:id="rId4"/>
    <sheet state="visible" name="ASSETS MODEL " sheetId="2" r:id="rId5"/>
    <sheet state="visible" name="REVENUE MODEL " sheetId="3" r:id="rId6"/>
    <sheet state="visible" name="COST MODEL" sheetId="4" r:id="rId7"/>
    <sheet state="visible" name="BEP" sheetId="5" r:id="rId8"/>
    <sheet state="visible" name="INDUSTRY ANALYSIS" sheetId="6" r:id="rId9"/>
  </sheets>
  <definedNames/>
  <calcPr/>
  <extLst>
    <ext uri="GoogleSheetsCustomDataVersion1">
      <go:sheetsCustomData xmlns:go="http://customooxmlschemas.google.com/" r:id="rId10" roundtripDataSignature="AMtx7miwKcyrYQN5PeF6Jm02Ty3CjIgr1w=="/>
    </ext>
  </extLst>
</workbook>
</file>

<file path=xl/sharedStrings.xml><?xml version="1.0" encoding="utf-8"?>
<sst xmlns="http://schemas.openxmlformats.org/spreadsheetml/2006/main" count="216" uniqueCount="158">
  <si>
    <t>Honda Financial Analysis</t>
  </si>
  <si>
    <t>INPUT DATA</t>
  </si>
  <si>
    <t>RATIOS</t>
  </si>
  <si>
    <t>YEN (millions)</t>
  </si>
  <si>
    <t>DOLLARS</t>
  </si>
  <si>
    <t>asset 2020</t>
  </si>
  <si>
    <t>Asset Turnover</t>
  </si>
  <si>
    <t>asset  2021</t>
  </si>
  <si>
    <t>ROA</t>
  </si>
  <si>
    <t xml:space="preserve">Average between assets
 of intial period and final period </t>
  </si>
  <si>
    <t>ROS</t>
  </si>
  <si>
    <t>OPERATING COSTS/PRODUCTS</t>
  </si>
  <si>
    <t>OPERATING COSTS/ASSETS</t>
  </si>
  <si>
    <t>total Sales</t>
  </si>
  <si>
    <t>SALES/PRODUCTS</t>
  </si>
  <si>
    <t>COGS</t>
  </si>
  <si>
    <t>RESIDUAL GROSS MARGIN</t>
  </si>
  <si>
    <t xml:space="preserve">Gross Margin </t>
  </si>
  <si>
    <t>GROSS MARGIN %</t>
  </si>
  <si>
    <t>Gross Margin %</t>
  </si>
  <si>
    <t>PRODUCTS/EMPLOYEES</t>
  </si>
  <si>
    <t xml:space="preserve">Operating Profit </t>
  </si>
  <si>
    <t>OPERATING COST/ EMPLOYEES</t>
  </si>
  <si>
    <t>Net Income</t>
  </si>
  <si>
    <t>STRUCTURAL COSTS/PRODUCTS</t>
  </si>
  <si>
    <t>Operating Costs</t>
  </si>
  <si>
    <t>GROSS MARGIN/PRODUCTS</t>
  </si>
  <si>
    <t>NUMBER OF PRODUCTS</t>
  </si>
  <si>
    <t>EMPLOYEES COSTS</t>
  </si>
  <si>
    <t>COGS/PRODUCTS</t>
  </si>
  <si>
    <t>EMPLOYEES/OPERATING COST</t>
  </si>
  <si>
    <t>Number of employees</t>
  </si>
  <si>
    <t>PRODUCTS/OPERATING COST</t>
  </si>
  <si>
    <t>average training hours (hour x emlp)</t>
  </si>
  <si>
    <t>average annual training costs (yen x empl)</t>
  </si>
  <si>
    <t>cost x hour (yen x employee)</t>
  </si>
  <si>
    <t>working hours x empl</t>
  </si>
  <si>
    <t>Total cost x employee</t>
  </si>
  <si>
    <t>total cost for employeement</t>
  </si>
  <si>
    <t>Conversion rate Yen/Dollar</t>
  </si>
  <si>
    <t>STRUCTURAL COSTS</t>
  </si>
  <si>
    <t>Selling, general and administrative costs</t>
  </si>
  <si>
    <t xml:space="preserve">Research and development </t>
  </si>
  <si>
    <t>TOTAL</t>
  </si>
  <si>
    <t xml:space="preserve">WORKING CAPITAL </t>
  </si>
  <si>
    <t>Data</t>
  </si>
  <si>
    <t>Conversion Rate</t>
  </si>
  <si>
    <t>WORKING CAPITAL</t>
  </si>
  <si>
    <t>RECEIVABLES</t>
  </si>
  <si>
    <t>Days Sales Outstanding</t>
  </si>
  <si>
    <t>Trade Receivables</t>
  </si>
  <si>
    <t>Days Inventory Oustanding</t>
  </si>
  <si>
    <t>Receivables from 
financial services</t>
  </si>
  <si>
    <t>Days Payables outstanding</t>
  </si>
  <si>
    <t>Total</t>
  </si>
  <si>
    <t>FIXED ASSETS</t>
  </si>
  <si>
    <t>TANGIBLE ASSETS</t>
  </si>
  <si>
    <t>YEN</t>
  </si>
  <si>
    <t xml:space="preserve">INVENTORY </t>
  </si>
  <si>
    <t>Property, plant and equipment</t>
  </si>
  <si>
    <t>Equipment on operating leases</t>
  </si>
  <si>
    <t>PAYABLES</t>
  </si>
  <si>
    <t>Trade Payables</t>
  </si>
  <si>
    <t>Income Taxes payables</t>
  </si>
  <si>
    <t>INTANGIBLE</t>
  </si>
  <si>
    <t>Intangible assets</t>
  </si>
  <si>
    <t>DEPRECIATION RATE (31/12/21)</t>
  </si>
  <si>
    <t>5.28%</t>
  </si>
  <si>
    <t>Honda total depreciation and amortization - cash flow for the twelve months ending December 31, 2021 was $14.078B, a 5.28% decline year-over-year.</t>
  </si>
  <si>
    <t xml:space="preserve">SALES PER DAY </t>
  </si>
  <si>
    <t>Sales</t>
  </si>
  <si>
    <t>Day</t>
  </si>
  <si>
    <t xml:space="preserve">Sales per day </t>
  </si>
  <si>
    <t>COGS PER DAY</t>
  </si>
  <si>
    <t>Cogs</t>
  </si>
  <si>
    <t>Days</t>
  </si>
  <si>
    <t>Cogs per day</t>
  </si>
  <si>
    <t xml:space="preserve">Days Inventory oustanding </t>
  </si>
  <si>
    <t>Payables</t>
  </si>
  <si>
    <t xml:space="preserve">Days payable Outstanding </t>
  </si>
  <si>
    <t xml:space="preserve">REVENUE MODEL </t>
  </si>
  <si>
    <t>N° of Customers</t>
  </si>
  <si>
    <t>Sales p/client</t>
  </si>
  <si>
    <t xml:space="preserve">Price </t>
  </si>
  <si>
    <t xml:space="preserve">Quantity </t>
  </si>
  <si>
    <t>Industry Demand</t>
  </si>
  <si>
    <t>Automobiles</t>
  </si>
  <si>
    <t>Quantity</t>
  </si>
  <si>
    <t>USA</t>
  </si>
  <si>
    <t>Japan</t>
  </si>
  <si>
    <t>China</t>
  </si>
  <si>
    <t>Rest of the World</t>
  </si>
  <si>
    <t>Total Auto</t>
  </si>
  <si>
    <t>Motorcycles</t>
  </si>
  <si>
    <t>Asia</t>
  </si>
  <si>
    <t>Total Moto</t>
  </si>
  <si>
    <t>Life Creation</t>
  </si>
  <si>
    <t>Total L.C.</t>
  </si>
  <si>
    <t>Total demand</t>
  </si>
  <si>
    <t>N° of customers By Business Segment</t>
  </si>
  <si>
    <t xml:space="preserve">Life Creation </t>
  </si>
  <si>
    <t>N° of customers By Geographical Segment</t>
  </si>
  <si>
    <t>North America</t>
  </si>
  <si>
    <t>Europe</t>
  </si>
  <si>
    <t>Rest of the Wolrd</t>
  </si>
  <si>
    <t xml:space="preserve">Revenues per Business Segment </t>
  </si>
  <si>
    <t>Yen</t>
  </si>
  <si>
    <t>Dollars</t>
  </si>
  <si>
    <t>Financial Services</t>
  </si>
  <si>
    <t xml:space="preserve">Revenues per Geographical Segment </t>
  </si>
  <si>
    <t>COSTS</t>
  </si>
  <si>
    <t>OPERATING COSTS</t>
  </si>
  <si>
    <t>NON OPERATING COSTS</t>
  </si>
  <si>
    <t>COGS (DIRECT COSTS)</t>
  </si>
  <si>
    <t>TAXES</t>
  </si>
  <si>
    <t>LABOR</t>
  </si>
  <si>
    <t>INTERESTS</t>
  </si>
  <si>
    <t>GRAFICI</t>
  </si>
  <si>
    <t>RAW MATERIALS</t>
  </si>
  <si>
    <t>EXPENSES AND 
AMMORTIZATION EXPENSES</t>
  </si>
  <si>
    <t>INDIRECT COSTS</t>
  </si>
  <si>
    <t>RESEARCH AND DEV.</t>
  </si>
  <si>
    <t>SG&amp;A</t>
  </si>
  <si>
    <t>LEASING COSTS</t>
  </si>
  <si>
    <t>BREAK-EVEN POINT ANALYSIS</t>
  </si>
  <si>
    <t>TOTAL SALES</t>
  </si>
  <si>
    <t>REVENUES</t>
  </si>
  <si>
    <t>TOTAL COSTS</t>
  </si>
  <si>
    <t>(from cost model)</t>
  </si>
  <si>
    <t>Fixed costs</t>
  </si>
  <si>
    <t>Variable (cost x prod.)</t>
  </si>
  <si>
    <t>Labor x prod.</t>
  </si>
  <si>
    <t>Raw materials</t>
  </si>
  <si>
    <t>PRICE X UNIT</t>
  </si>
  <si>
    <t>CONTRIBUTION 
MARGIN</t>
  </si>
  <si>
    <t>BEP (unità)</t>
  </si>
  <si>
    <t>BEP ($)</t>
  </si>
  <si>
    <t>SECURITY 
MARGIN (UNITS)</t>
  </si>
  <si>
    <t>SECURITY 
MARGIN ($)</t>
  </si>
  <si>
    <t>TOYOTA</t>
  </si>
  <si>
    <t>VOLKSWAGEN</t>
  </si>
  <si>
    <t>YAMAHA</t>
  </si>
  <si>
    <t>RENAULT</t>
  </si>
  <si>
    <t xml:space="preserve">AVERAGE </t>
  </si>
  <si>
    <t>HONDA</t>
  </si>
  <si>
    <t>4.94%</t>
  </si>
  <si>
    <t>2.84%</t>
  </si>
  <si>
    <t>ASSETS TURNOVER</t>
  </si>
  <si>
    <t>GROSS MARGIN</t>
  </si>
  <si>
    <t>GROSS MARGIN (%)</t>
  </si>
  <si>
    <t>NUMBER OF PROD. SOLD</t>
  </si>
  <si>
    <t>EMPLOYEES</t>
  </si>
  <si>
    <t>SALES</t>
  </si>
  <si>
    <t>ASSETS</t>
  </si>
  <si>
    <t>OPERATING INCOME</t>
  </si>
  <si>
    <t>PRODUCT/EMPLOYEES</t>
  </si>
  <si>
    <t>EMPLOYEES/
OPERATING COSTS</t>
  </si>
  <si>
    <t>OPERATING INCOME(%)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</si>
</sst>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0">
    <numFmt numFmtId="164" formatCode="#,##0.00\ &quot;€&quot;"/>
    <numFmt numFmtId="165" formatCode="[$¥]#,##0"/>
    <numFmt numFmtId="166" formatCode="[$$]#,##0.00"/>
    <numFmt numFmtId="167" formatCode="0.0000%"/>
    <numFmt numFmtId="168" formatCode="[$$]#,##0.000000"/>
    <numFmt numFmtId="169" formatCode="[$$]#,##0.00000000"/>
    <numFmt numFmtId="170" formatCode="0.00000000%"/>
    <numFmt numFmtId="171" formatCode="0.000"/>
    <numFmt numFmtId="172" formatCode="[$$]#,##0"/>
    <numFmt numFmtId="173" formatCode="[$¥]#,##0.0"/>
  </numFmts>
  <fonts count="8">
    <font>
      <sz val="12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  <font>
      <b/>
      <sz val="9.0"/>
      <color theme="1"/>
      <name val="Times New Roman"/>
    </font>
    <font>
      <sz val="12.0"/>
      <color theme="1"/>
      <name val="Calibri"/>
    </font>
    <font>
      <b/>
      <sz val="12.0"/>
      <color theme="1"/>
      <name val="Calibri"/>
    </font>
    <font>
      <b/>
      <sz val="11.0"/>
      <color rgb="FF444444"/>
      <name val="Roboto"/>
    </font>
    <font>
      <sz val="11.0"/>
      <color theme="1"/>
      <name val="Roboto"/>
    </font>
  </fonts>
  <fills count="21">
    <fill>
      <patternFill patternType="none"/>
    </fill>
    <fill>
      <patternFill patternType="lightGray"/>
    </fill>
    <fill>
      <patternFill patternType="solid">
        <fgColor rgb="FF93C47D"/>
        <bgColor rgb="FF93C47D"/>
      </patternFill>
    </fill>
    <fill>
      <patternFill patternType="solid">
        <fgColor rgb="FF3D85C6"/>
        <bgColor rgb="FF3D85C6"/>
      </patternFill>
    </fill>
    <fill>
      <patternFill patternType="solid">
        <fgColor rgb="FFC27BA0"/>
        <bgColor rgb="FFC27BA0"/>
      </patternFill>
    </fill>
    <fill>
      <patternFill patternType="solid">
        <fgColor rgb="FFF3F3F3"/>
        <bgColor rgb="FFF3F3F3"/>
      </patternFill>
    </fill>
    <fill>
      <patternFill patternType="solid">
        <fgColor rgb="FFB6D7A8"/>
        <bgColor rgb="FFB6D7A8"/>
      </patternFill>
    </fill>
    <fill>
      <patternFill patternType="solid">
        <fgColor rgb="FFD5A6BD"/>
        <bgColor rgb="FFD5A6BD"/>
      </patternFill>
    </fill>
    <fill>
      <patternFill patternType="solid">
        <fgColor rgb="FFD9EAD3"/>
        <bgColor rgb="FFD9EAD3"/>
      </patternFill>
    </fill>
    <fill>
      <patternFill patternType="solid">
        <fgColor rgb="FFEAD1DC"/>
        <bgColor rgb="FFEAD1DC"/>
      </patternFill>
    </fill>
    <fill>
      <patternFill patternType="solid">
        <fgColor rgb="FFC9DAF8"/>
        <bgColor rgb="FFC9DAF8"/>
      </patternFill>
    </fill>
    <fill>
      <patternFill patternType="solid">
        <fgColor rgb="FFFFE599"/>
        <bgColor rgb="FFFFE599"/>
      </patternFill>
    </fill>
    <fill>
      <patternFill patternType="solid">
        <fgColor rgb="FFFFF2CC"/>
        <bgColor rgb="FFFFF2CC"/>
      </patternFill>
    </fill>
    <fill>
      <patternFill patternType="solid">
        <fgColor theme="0"/>
        <bgColor theme="0"/>
      </patternFill>
    </fill>
    <fill>
      <patternFill patternType="solid">
        <fgColor rgb="FFE06666"/>
        <bgColor rgb="FFE06666"/>
      </patternFill>
    </fill>
    <fill>
      <patternFill patternType="solid">
        <fgColor rgb="FFD0E0E3"/>
        <bgColor rgb="FFD0E0E3"/>
      </patternFill>
    </fill>
    <fill>
      <patternFill patternType="solid">
        <fgColor rgb="FFCC0000"/>
        <bgColor rgb="FFCC0000"/>
      </patternFill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  <fill>
      <patternFill patternType="solid">
        <fgColor rgb="FFEA9999"/>
        <bgColor rgb="FFEA9999"/>
      </patternFill>
    </fill>
    <fill>
      <patternFill patternType="solid">
        <fgColor rgb="FFFFD966"/>
        <bgColor rgb="FFFFD966"/>
      </patternFill>
    </fill>
  </fills>
  <borders count="10">
    <border/>
    <border>
      <right/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0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readingOrder="0"/>
    </xf>
    <xf borderId="0" fillId="0" fontId="3" numFmtId="164" xfId="0" applyFont="1" applyNumberFormat="1"/>
    <xf borderId="0" fillId="0" fontId="2" numFmtId="0" xfId="0" applyAlignment="1" applyFont="1">
      <alignment horizontal="center" readingOrder="0"/>
    </xf>
    <xf borderId="0" fillId="0" fontId="4" numFmtId="165" xfId="0" applyAlignment="1" applyFont="1" applyNumberFormat="1">
      <alignment readingOrder="0"/>
    </xf>
    <xf borderId="0" fillId="0" fontId="3" numFmtId="10" xfId="0" applyFont="1" applyNumberFormat="1"/>
    <xf borderId="0" fillId="0" fontId="4" numFmtId="9" xfId="0" applyFont="1" applyNumberFormat="1"/>
    <xf borderId="0" fillId="0" fontId="2" numFmtId="0" xfId="0" applyFont="1"/>
    <xf borderId="0" fillId="0" fontId="4" numFmtId="165" xfId="0" applyFont="1" applyNumberFormat="1"/>
    <xf borderId="0" fillId="0" fontId="2" numFmtId="166" xfId="0" applyFont="1" applyNumberFormat="1"/>
    <xf borderId="0" fillId="2" fontId="2" numFmtId="0" xfId="0" applyAlignment="1" applyFill="1" applyFont="1">
      <alignment readingOrder="0"/>
    </xf>
    <xf borderId="0" fillId="2" fontId="2" numFmtId="167" xfId="0" applyFont="1" applyNumberFormat="1"/>
    <xf borderId="0" fillId="3" fontId="2" numFmtId="0" xfId="0" applyAlignment="1" applyFill="1" applyFont="1">
      <alignment readingOrder="0"/>
    </xf>
    <xf borderId="0" fillId="3" fontId="2" numFmtId="10" xfId="0" applyFont="1" applyNumberFormat="1"/>
    <xf borderId="0" fillId="4" fontId="2" numFmtId="0" xfId="0" applyAlignment="1" applyFill="1" applyFont="1">
      <alignment readingOrder="0"/>
    </xf>
    <xf borderId="0" fillId="4" fontId="2" numFmtId="167" xfId="0" applyFont="1" applyNumberFormat="1"/>
    <xf borderId="0" fillId="5" fontId="2" numFmtId="0" xfId="0" applyAlignment="1" applyFill="1" applyFont="1">
      <alignment readingOrder="0"/>
    </xf>
    <xf borderId="0" fillId="5" fontId="2" numFmtId="168" xfId="0" applyFont="1" applyNumberFormat="1"/>
    <xf borderId="0" fillId="6" fontId="2" numFmtId="0" xfId="0" applyAlignment="1" applyFill="1" applyFont="1">
      <alignment readingOrder="0"/>
    </xf>
    <xf borderId="0" fillId="6" fontId="2" numFmtId="167" xfId="0" applyFont="1" applyNumberFormat="1"/>
    <xf borderId="0" fillId="6" fontId="2" numFmtId="166" xfId="0" applyFont="1" applyNumberFormat="1"/>
    <xf borderId="0" fillId="7" fontId="2" numFmtId="0" xfId="0" applyAlignment="1" applyFill="1" applyFont="1">
      <alignment readingOrder="0"/>
    </xf>
    <xf borderId="0" fillId="7" fontId="2" numFmtId="10" xfId="0" applyFont="1" applyNumberFormat="1"/>
    <xf borderId="0" fillId="7" fontId="2" numFmtId="10" xfId="0" applyAlignment="1" applyFont="1" applyNumberFormat="1">
      <alignment readingOrder="0"/>
    </xf>
    <xf borderId="0" fillId="0" fontId="4" numFmtId="167" xfId="0" applyFont="1" applyNumberFormat="1"/>
    <xf borderId="0" fillId="8" fontId="2" numFmtId="0" xfId="0" applyAlignment="1" applyFill="1" applyFont="1">
      <alignment readingOrder="0"/>
    </xf>
    <xf borderId="0" fillId="8" fontId="2" numFmtId="2" xfId="0" applyFont="1" applyNumberFormat="1"/>
    <xf borderId="0" fillId="0" fontId="2" numFmtId="169" xfId="0" applyFont="1" applyNumberFormat="1"/>
    <xf borderId="0" fillId="9" fontId="2" numFmtId="0" xfId="0" applyAlignment="1" applyFill="1" applyFont="1">
      <alignment readingOrder="0"/>
    </xf>
    <xf borderId="0" fillId="9" fontId="2" numFmtId="166" xfId="0" applyFont="1" applyNumberFormat="1"/>
    <xf borderId="0" fillId="0" fontId="2" numFmtId="170" xfId="0" applyFont="1" applyNumberFormat="1"/>
    <xf borderId="0" fillId="5" fontId="2" numFmtId="166" xfId="0" applyFont="1" applyNumberFormat="1"/>
    <xf borderId="0" fillId="8" fontId="2" numFmtId="4" xfId="0" applyFont="1" applyNumberFormat="1"/>
    <xf borderId="0" fillId="6" fontId="2" numFmtId="4" xfId="0" applyFont="1" applyNumberFormat="1"/>
    <xf borderId="0" fillId="0" fontId="2" numFmtId="165" xfId="0" applyFont="1" applyNumberFormat="1"/>
    <xf borderId="0" fillId="0" fontId="4" numFmtId="0" xfId="0" applyAlignment="1" applyFont="1">
      <alignment vertical="bottom"/>
    </xf>
    <xf borderId="0" fillId="6" fontId="2" numFmtId="165" xfId="0" applyFont="1" applyNumberFormat="1"/>
    <xf borderId="0" fillId="6" fontId="4" numFmtId="165" xfId="0" applyFont="1" applyNumberFormat="1"/>
    <xf borderId="0" fillId="6" fontId="2" numFmtId="0" xfId="0" applyFont="1"/>
    <xf borderId="0" fillId="0" fontId="1" numFmtId="2" xfId="0" applyFont="1" applyNumberFormat="1"/>
    <xf borderId="0" fillId="0" fontId="5" numFmtId="2" xfId="0" applyAlignment="1" applyFont="1" applyNumberFormat="1">
      <alignment shrinkToFit="0" vertical="bottom" wrapText="0"/>
    </xf>
    <xf borderId="0" fillId="10" fontId="2" numFmtId="0" xfId="0" applyFill="1" applyFont="1"/>
    <xf borderId="1" fillId="0" fontId="5" numFmtId="2" xfId="0" applyAlignment="1" applyBorder="1" applyFont="1" applyNumberFormat="1">
      <alignment shrinkToFit="0" vertical="bottom" wrapText="0"/>
    </xf>
    <xf borderId="0" fillId="11" fontId="4" numFmtId="0" xfId="0" applyAlignment="1" applyFill="1" applyFont="1">
      <alignment vertical="bottom"/>
    </xf>
    <xf borderId="0" fillId="11" fontId="4" numFmtId="166" xfId="0" applyAlignment="1" applyFont="1" applyNumberFormat="1">
      <alignment vertical="bottom"/>
    </xf>
    <xf borderId="0" fillId="12" fontId="4" numFmtId="0" xfId="0" applyAlignment="1" applyFill="1" applyFont="1">
      <alignment vertical="bottom"/>
    </xf>
    <xf borderId="0" fillId="0" fontId="4" numFmtId="0" xfId="0" applyAlignment="1" applyFont="1">
      <alignment readingOrder="0" vertical="bottom"/>
    </xf>
    <xf borderId="0" fillId="0" fontId="1" numFmtId="166" xfId="0" applyFont="1" applyNumberFormat="1"/>
    <xf borderId="1" fillId="0" fontId="4" numFmtId="0" xfId="0" applyAlignment="1" applyBorder="1" applyFont="1">
      <alignment vertical="bottom"/>
    </xf>
    <xf borderId="0" fillId="0" fontId="5" numFmtId="0" xfId="0" applyAlignment="1" applyFont="1">
      <alignment readingOrder="0" vertical="bottom"/>
    </xf>
    <xf borderId="0" fillId="0" fontId="5" numFmtId="0" xfId="0" applyAlignment="1" applyFont="1">
      <alignment horizontal="right" readingOrder="0" vertical="bottom"/>
    </xf>
    <xf borderId="0" fillId="13" fontId="2" numFmtId="165" xfId="0" applyFill="1" applyFont="1" applyNumberFormat="1"/>
    <xf borderId="1" fillId="0" fontId="4" numFmtId="0" xfId="0" applyAlignment="1" applyBorder="1" applyFont="1">
      <alignment shrinkToFit="0" vertical="bottom" wrapText="0"/>
    </xf>
    <xf borderId="0" fillId="0" fontId="2" numFmtId="2" xfId="0" applyFont="1" applyNumberFormat="1"/>
    <xf borderId="0" fillId="0" fontId="2" numFmtId="171" xfId="0" applyFont="1" applyNumberFormat="1"/>
    <xf borderId="0" fillId="14" fontId="1" numFmtId="0" xfId="0" applyAlignment="1" applyFill="1" applyFont="1">
      <alignment readingOrder="0"/>
    </xf>
    <xf borderId="0" fillId="0" fontId="2" numFmtId="4" xfId="0" applyAlignment="1" applyFont="1" applyNumberFormat="1">
      <alignment readingOrder="0"/>
    </xf>
    <xf borderId="0" fillId="15" fontId="2" numFmtId="0" xfId="0" applyAlignment="1" applyFill="1" applyFont="1">
      <alignment readingOrder="0"/>
    </xf>
    <xf borderId="0" fillId="0" fontId="2" numFmtId="172" xfId="0" applyFont="1" applyNumberFormat="1"/>
    <xf borderId="0" fillId="11" fontId="2" numFmtId="0" xfId="0" applyAlignment="1" applyFont="1">
      <alignment readingOrder="0"/>
    </xf>
    <xf borderId="0" fillId="0" fontId="2" numFmtId="4" xfId="0" applyAlignment="1" applyFont="1" applyNumberFormat="1">
      <alignment horizontal="center" readingOrder="0"/>
    </xf>
    <xf borderId="0" fillId="0" fontId="2" numFmtId="4" xfId="0" applyAlignment="1" applyFont="1" applyNumberFormat="1">
      <alignment horizontal="center"/>
    </xf>
    <xf borderId="0" fillId="0" fontId="2" numFmtId="0" xfId="0" applyAlignment="1" applyFont="1">
      <alignment horizontal="center"/>
    </xf>
    <xf borderId="0" fillId="0" fontId="2" numFmtId="165" xfId="0" applyAlignment="1" applyFont="1" applyNumberFormat="1">
      <alignment horizontal="center"/>
    </xf>
    <xf borderId="0" fillId="0" fontId="2" numFmtId="166" xfId="0" applyAlignment="1" applyFont="1" applyNumberFormat="1">
      <alignment horizontal="center"/>
    </xf>
    <xf borderId="0" fillId="0" fontId="2" numFmtId="173" xfId="0" applyAlignment="1" applyFont="1" applyNumberFormat="1">
      <alignment horizontal="center" readingOrder="0"/>
    </xf>
    <xf borderId="0" fillId="16" fontId="2" numFmtId="166" xfId="0" applyFill="1" applyFont="1" applyNumberFormat="1"/>
    <xf borderId="0" fillId="17" fontId="6" numFmtId="166" xfId="0" applyAlignment="1" applyFill="1" applyFont="1" applyNumberFormat="1">
      <alignment horizontal="left" readingOrder="0"/>
    </xf>
    <xf borderId="0" fillId="17" fontId="6" numFmtId="0" xfId="0" applyAlignment="1" applyFont="1">
      <alignment horizontal="left" readingOrder="0"/>
    </xf>
    <xf borderId="0" fillId="18" fontId="2" numFmtId="0" xfId="0" applyAlignment="1" applyFill="1" applyFont="1">
      <alignment readingOrder="0"/>
    </xf>
    <xf borderId="0" fillId="18" fontId="2" numFmtId="0" xfId="0" applyFont="1"/>
    <xf borderId="0" fillId="0" fontId="2" numFmtId="166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18" fontId="2" numFmtId="166" xfId="0" applyAlignment="1" applyFont="1" applyNumberFormat="1">
      <alignment readingOrder="0"/>
    </xf>
    <xf borderId="0" fillId="13" fontId="2" numFmtId="0" xfId="0" applyAlignment="1" applyFont="1">
      <alignment horizontal="center" readingOrder="0"/>
    </xf>
    <xf borderId="0" fillId="19" fontId="2" numFmtId="0" xfId="0" applyAlignment="1" applyFill="1" applyFont="1">
      <alignment readingOrder="0"/>
    </xf>
    <xf borderId="0" fillId="19" fontId="2" numFmtId="166" xfId="0" applyFont="1" applyNumberFormat="1"/>
    <xf borderId="0" fillId="12" fontId="2" numFmtId="0" xfId="0" applyAlignment="1" applyFont="1">
      <alignment horizontal="center" readingOrder="0"/>
    </xf>
    <xf borderId="0" fillId="12" fontId="2" numFmtId="166" xfId="0" applyFont="1" applyNumberFormat="1"/>
    <xf borderId="0" fillId="6" fontId="2" numFmtId="0" xfId="0" applyAlignment="1" applyFont="1">
      <alignment horizontal="center" readingOrder="0"/>
    </xf>
    <xf borderId="0" fillId="6" fontId="2" numFmtId="4" xfId="0" applyFont="1" applyNumberFormat="1"/>
    <xf borderId="0" fillId="6" fontId="2" numFmtId="166" xfId="0" applyFont="1" applyNumberFormat="1"/>
    <xf borderId="2" fillId="0" fontId="2" numFmtId="0" xfId="0" applyBorder="1" applyFont="1"/>
    <xf borderId="3" fillId="0" fontId="2" numFmtId="0" xfId="0" applyAlignment="1" applyBorder="1" applyFont="1">
      <alignment readingOrder="0"/>
    </xf>
    <xf borderId="4" fillId="20" fontId="2" numFmtId="0" xfId="0" applyAlignment="1" applyBorder="1" applyFill="1" applyFont="1">
      <alignment readingOrder="0"/>
    </xf>
    <xf borderId="5" fillId="0" fontId="2" numFmtId="0" xfId="0" applyAlignment="1" applyBorder="1" applyFont="1">
      <alignment readingOrder="0"/>
    </xf>
    <xf borderId="0" fillId="0" fontId="2" numFmtId="10" xfId="0" applyAlignment="1" applyFont="1" applyNumberFormat="1">
      <alignment horizontal="right"/>
    </xf>
    <xf borderId="0" fillId="0" fontId="2" numFmtId="10" xfId="0" applyAlignment="1" applyFont="1" applyNumberFormat="1">
      <alignment horizontal="right" readingOrder="0"/>
    </xf>
    <xf borderId="6" fillId="18" fontId="2" numFmtId="10" xfId="0" applyAlignment="1" applyBorder="1" applyFont="1" applyNumberFormat="1">
      <alignment horizontal="right" readingOrder="0"/>
    </xf>
    <xf borderId="0" fillId="0" fontId="2" numFmtId="9" xfId="0" applyAlignment="1" applyFont="1" applyNumberFormat="1">
      <alignment horizontal="right" readingOrder="0"/>
    </xf>
    <xf borderId="0" fillId="0" fontId="2" numFmtId="9" xfId="0" applyAlignment="1" applyFont="1" applyNumberFormat="1">
      <alignment horizontal="right"/>
    </xf>
    <xf borderId="6" fillId="8" fontId="2" numFmtId="10" xfId="0" applyAlignment="1" applyBorder="1" applyFont="1" applyNumberFormat="1">
      <alignment horizontal="right" readingOrder="0"/>
    </xf>
    <xf borderId="0" fillId="17" fontId="7" numFmtId="166" xfId="0" applyAlignment="1" applyFont="1" applyNumberFormat="1">
      <alignment horizontal="right" readingOrder="0"/>
    </xf>
    <xf borderId="0" fillId="0" fontId="2" numFmtId="166" xfId="0" applyAlignment="1" applyFont="1" applyNumberFormat="1">
      <alignment horizontal="right"/>
    </xf>
    <xf borderId="6" fillId="18" fontId="2" numFmtId="166" xfId="0" applyAlignment="1" applyBorder="1" applyFont="1" applyNumberFormat="1">
      <alignment horizontal="right" readingOrder="0"/>
    </xf>
    <xf borderId="6" fillId="8" fontId="2" numFmtId="4" xfId="0" applyAlignment="1" applyBorder="1" applyFont="1" applyNumberFormat="1">
      <alignment horizontal="right" readingOrder="0"/>
    </xf>
    <xf borderId="0" fillId="0" fontId="2" numFmtId="4" xfId="0" applyAlignment="1" applyFont="1" applyNumberFormat="1">
      <alignment horizontal="right" readingOrder="0"/>
    </xf>
    <xf borderId="0" fillId="0" fontId="2" numFmtId="4" xfId="0" applyAlignment="1" applyFont="1" applyNumberFormat="1">
      <alignment horizontal="right"/>
    </xf>
    <xf borderId="6" fillId="12" fontId="2" numFmtId="4" xfId="0" applyAlignment="1" applyBorder="1" applyFont="1" applyNumberFormat="1">
      <alignment horizontal="right" readingOrder="0"/>
    </xf>
    <xf borderId="6" fillId="8" fontId="2" numFmtId="166" xfId="0" applyAlignment="1" applyBorder="1" applyFont="1" applyNumberFormat="1">
      <alignment horizontal="right"/>
    </xf>
    <xf borderId="6" fillId="18" fontId="2" numFmtId="166" xfId="0" applyAlignment="1" applyBorder="1" applyFont="1" applyNumberFormat="1">
      <alignment horizontal="right"/>
    </xf>
    <xf borderId="6" fillId="8" fontId="2" numFmtId="2" xfId="0" applyBorder="1" applyFont="1" applyNumberFormat="1"/>
    <xf borderId="5" fillId="0" fontId="2" numFmtId="0" xfId="0" applyAlignment="1" applyBorder="1" applyFont="1">
      <alignment horizontal="center" readingOrder="0"/>
    </xf>
    <xf borderId="7" fillId="0" fontId="2" numFmtId="0" xfId="0" applyAlignment="1" applyBorder="1" applyFont="1">
      <alignment readingOrder="0"/>
    </xf>
    <xf borderId="8" fillId="0" fontId="2" numFmtId="10" xfId="0" applyBorder="1" applyFont="1" applyNumberFormat="1"/>
    <xf borderId="9" fillId="18" fontId="2" numFmtId="10" xfId="0" applyBorder="1" applyFont="1" applyNumberFormat="1"/>
    <xf borderId="0" fillId="0" fontId="2" numFmtId="10" xfId="0" applyFont="1" applyNumberFormat="1"/>
  </cellXfs>
  <cellStyles count="1">
    <cellStyle xfId="0" name="Normal" builtinId="0"/>
  </cellStyles>
  <dxfs count="5">
    <dxf>
      <font/>
      <fill>
        <patternFill patternType="none"/>
      </fill>
      <border/>
    </dxf>
    <dxf>
      <font/>
      <fill>
        <patternFill patternType="solid">
          <fgColor rgb="FF26A69A"/>
          <bgColor rgb="FF26A69A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DDF2F0"/>
          <bgColor rgb="FFDDF2F0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  <tableStyles count="1">
    <tableStyle count="3" pivot="0" name="BEP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tx>
            <c:strRef>
              <c:f>'REVENUE MODEL '!$B$16</c:f>
            </c:strRef>
          </c:tx>
          <c:dPt>
            <c:idx val="0"/>
            <c:spPr>
              <a:solidFill>
                <a:srgbClr val="4472C4"/>
              </a:solidFill>
            </c:spPr>
          </c:dPt>
          <c:dPt>
            <c:idx val="1"/>
            <c:spPr>
              <a:solidFill>
                <a:srgbClr val="ED7D31"/>
              </a:solidFill>
            </c:spPr>
          </c:dPt>
          <c:dPt>
            <c:idx val="2"/>
            <c:spPr>
              <a:solidFill>
                <a:srgbClr val="A5A5A5"/>
              </a:solidFill>
            </c:spPr>
          </c:dPt>
          <c:dPt>
            <c:idx val="3"/>
            <c:spPr>
              <a:solidFill>
                <a:srgbClr val="FFC000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'REVENUE MODEL '!$A$17:$A$20</c:f>
            </c:strRef>
          </c:cat>
          <c:val>
            <c:numRef>
              <c:f>'REVENUE MODEL '!$B$17:$B$20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doughnutChart>
        <c:varyColors val="1"/>
        <c:ser>
          <c:idx val="0"/>
          <c:order val="0"/>
          <c:dPt>
            <c:idx val="0"/>
            <c:spPr>
              <a:solidFill>
                <a:srgbClr val="4472C4"/>
              </a:solidFill>
            </c:spPr>
          </c:dPt>
          <c:dPt>
            <c:idx val="1"/>
            <c:spPr>
              <a:solidFill>
                <a:srgbClr val="ED7D31"/>
              </a:solidFill>
            </c:spPr>
          </c:dPt>
          <c:dPt>
            <c:idx val="2"/>
            <c:spPr>
              <a:solidFill>
                <a:srgbClr val="A5A5A5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'COST MODEL'!$E$46:$E$48</c:f>
            </c:strRef>
          </c:cat>
          <c:val>
            <c:numRef>
              <c:f>'COST MODEL'!$F$46:$F$48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doughnutChart>
        <c:varyColors val="1"/>
        <c:ser>
          <c:idx val="0"/>
          <c:order val="0"/>
          <c:dPt>
            <c:idx val="0"/>
            <c:spPr>
              <a:solidFill>
                <a:srgbClr val="4472C4"/>
              </a:solidFill>
            </c:spPr>
          </c:dPt>
          <c:dPt>
            <c:idx val="1"/>
            <c:spPr>
              <a:solidFill>
                <a:srgbClr val="ED7D31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'COST MODEL'!$J$13:$J$14</c:f>
            </c:strRef>
          </c:cat>
          <c:val>
            <c:numRef>
              <c:f>'COST MODEL'!$K$13:$K$14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tx>
            <c:strRef>
              <c:f>'REVENUE MODEL '!$B$23</c:f>
            </c:strRef>
          </c:tx>
          <c:dPt>
            <c:idx val="0"/>
            <c:spPr>
              <a:solidFill>
                <a:srgbClr val="4472C4"/>
              </a:solidFill>
            </c:spPr>
          </c:dPt>
          <c:dPt>
            <c:idx val="1"/>
            <c:spPr>
              <a:solidFill>
                <a:srgbClr val="ED7D31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'REVENUE MODEL '!$A$24:$A$25</c:f>
            </c:strRef>
          </c:cat>
          <c:val>
            <c:numRef>
              <c:f>'REVENUE MODEL '!$B$24:$B$25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Quantity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472C4"/>
              </a:solidFill>
            </c:spPr>
          </c:dPt>
          <c:dPt>
            <c:idx val="1"/>
            <c:spPr>
              <a:solidFill>
                <a:srgbClr val="ED7D31"/>
              </a:solidFill>
            </c:spPr>
          </c:dPt>
          <c:dPt>
            <c:idx val="2"/>
            <c:spPr>
              <a:solidFill>
                <a:srgbClr val="A5A5A5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'REVENUE MODEL '!$A$35:$A$37</c:f>
            </c:strRef>
          </c:cat>
          <c:val>
            <c:numRef>
              <c:f>'REVENUE MODEL '!$B$35:$B$37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Quantity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472C4"/>
              </a:solidFill>
            </c:spPr>
          </c:dPt>
          <c:dPt>
            <c:idx val="1"/>
            <c:spPr>
              <a:solidFill>
                <a:srgbClr val="ED7D31"/>
              </a:solidFill>
            </c:spPr>
          </c:dPt>
          <c:dPt>
            <c:idx val="2"/>
            <c:spPr>
              <a:solidFill>
                <a:srgbClr val="A5A5A5"/>
              </a:solidFill>
            </c:spPr>
          </c:dPt>
          <c:dPt>
            <c:idx val="3"/>
            <c:spPr>
              <a:solidFill>
                <a:srgbClr val="FFC000"/>
              </a:solidFill>
            </c:spPr>
          </c:dPt>
          <c:dPt>
            <c:idx val="4"/>
            <c:spPr>
              <a:solidFill>
                <a:srgbClr val="5B9BD5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'REVENUE MODEL '!$A$40:$A$44</c:f>
            </c:strRef>
          </c:cat>
          <c:val>
            <c:numRef>
              <c:f>'REVENUE MODEL '!$B$40:$B$44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Dollars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'REVENUE MODEL '!$C$47</c:f>
            </c:strRef>
          </c:tx>
          <c:dPt>
            <c:idx val="0"/>
            <c:spPr>
              <a:solidFill>
                <a:srgbClr val="4472C4"/>
              </a:solidFill>
            </c:spPr>
          </c:dPt>
          <c:dPt>
            <c:idx val="1"/>
            <c:spPr>
              <a:solidFill>
                <a:srgbClr val="ED7D31"/>
              </a:solidFill>
            </c:spPr>
          </c:dPt>
          <c:dPt>
            <c:idx val="2"/>
            <c:spPr>
              <a:solidFill>
                <a:srgbClr val="A5A5A5"/>
              </a:solidFill>
            </c:spPr>
          </c:dPt>
          <c:dPt>
            <c:idx val="3"/>
            <c:spPr>
              <a:solidFill>
                <a:srgbClr val="FFC000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'REVENUE MODEL '!$A$48:$A$51</c:f>
            </c:strRef>
          </c:cat>
          <c:val>
            <c:numRef>
              <c:f>'REVENUE MODEL '!$C$48:$C$51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Dollars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'REVENUE MODEL '!$C$53</c:f>
            </c:strRef>
          </c:tx>
          <c:dPt>
            <c:idx val="0"/>
            <c:spPr>
              <a:solidFill>
                <a:srgbClr val="4472C4"/>
              </a:solidFill>
            </c:spPr>
          </c:dPt>
          <c:dPt>
            <c:idx val="1"/>
            <c:spPr>
              <a:solidFill>
                <a:srgbClr val="ED7D31"/>
              </a:solidFill>
            </c:spPr>
          </c:dPt>
          <c:dPt>
            <c:idx val="2"/>
            <c:spPr>
              <a:solidFill>
                <a:srgbClr val="A5A5A5"/>
              </a:solidFill>
            </c:spPr>
          </c:dPt>
          <c:dPt>
            <c:idx val="3"/>
            <c:spPr>
              <a:solidFill>
                <a:srgbClr val="FFC000"/>
              </a:solidFill>
            </c:spPr>
          </c:dPt>
          <c:dPt>
            <c:idx val="4"/>
            <c:spPr>
              <a:solidFill>
                <a:srgbClr val="5B9BD5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'REVENUE MODEL '!$A$54:$A$58</c:f>
            </c:strRef>
          </c:cat>
          <c:val>
            <c:numRef>
              <c:f>'REVENUE MODEL '!$C$54:$C$58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doughnutChart>
        <c:varyColors val="1"/>
        <c:ser>
          <c:idx val="0"/>
          <c:order val="0"/>
          <c:dPt>
            <c:idx val="0"/>
            <c:spPr>
              <a:solidFill>
                <a:srgbClr val="4472C4"/>
              </a:solidFill>
            </c:spPr>
          </c:dPt>
          <c:dPt>
            <c:idx val="1"/>
            <c:spPr>
              <a:solidFill>
                <a:srgbClr val="ED7D31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'COST MODEL'!$F$11:$F$12</c:f>
            </c:strRef>
          </c:cat>
          <c:val>
            <c:numRef>
              <c:f>'COST MODEL'!$G$11:$G$12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doughnutChart>
        <c:varyColors val="1"/>
        <c:ser>
          <c:idx val="0"/>
          <c:order val="0"/>
          <c:dPt>
            <c:idx val="0"/>
            <c:spPr>
              <a:solidFill>
                <a:srgbClr val="4472C4"/>
              </a:solidFill>
            </c:spPr>
          </c:dPt>
          <c:dPt>
            <c:idx val="1"/>
            <c:spPr>
              <a:solidFill>
                <a:srgbClr val="ED7D31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'COST MODEL'!$A$28:$A$29</c:f>
            </c:strRef>
          </c:cat>
          <c:val>
            <c:numRef>
              <c:f>'COST MODEL'!$B$28:$B$29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doughnutChart>
        <c:varyColors val="1"/>
        <c:ser>
          <c:idx val="0"/>
          <c:order val="0"/>
          <c:dPt>
            <c:idx val="0"/>
            <c:spPr>
              <a:solidFill>
                <a:srgbClr val="4472C4"/>
              </a:solidFill>
            </c:spPr>
          </c:dPt>
          <c:dPt>
            <c:idx val="1"/>
            <c:spPr>
              <a:solidFill>
                <a:srgbClr val="ED7D31"/>
              </a:solidFill>
            </c:spPr>
          </c:dPt>
          <c:dPt>
            <c:idx val="2"/>
            <c:spPr>
              <a:solidFill>
                <a:srgbClr val="A5A5A5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'COST MODEL'!$E$29:$E$31</c:f>
            </c:strRef>
          </c:cat>
          <c:val>
            <c:numRef>
              <c:f>'COST MODEL'!$F$29:$F$31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1333500</xdr:colOff>
      <xdr:row>15</xdr:row>
      <xdr:rowOff>0</xdr:rowOff>
    </xdr:from>
    <xdr:ext cx="2905125" cy="1095375"/>
    <xdr:graphicFrame>
      <xdr:nvGraphicFramePr>
        <xdr:cNvPr id="1885214091" name="Chart 1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</xdr:col>
      <xdr:colOff>1343025</xdr:colOff>
      <xdr:row>22</xdr:row>
      <xdr:rowOff>19050</xdr:rowOff>
    </xdr:from>
    <xdr:ext cx="2905125" cy="952500"/>
    <xdr:graphicFrame>
      <xdr:nvGraphicFramePr>
        <xdr:cNvPr id="1721086915" name="Chart 2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</xdr:col>
      <xdr:colOff>1333500</xdr:colOff>
      <xdr:row>32</xdr:row>
      <xdr:rowOff>152400</xdr:rowOff>
    </xdr:from>
    <xdr:ext cx="2905125" cy="952500"/>
    <xdr:graphicFrame>
      <xdr:nvGraphicFramePr>
        <xdr:cNvPr id="554791712" name="Chart 3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2</xdr:col>
      <xdr:colOff>1343025</xdr:colOff>
      <xdr:row>38</xdr:row>
      <xdr:rowOff>152400</xdr:rowOff>
    </xdr:from>
    <xdr:ext cx="2905125" cy="952500"/>
    <xdr:graphicFrame>
      <xdr:nvGraphicFramePr>
        <xdr:cNvPr id="99347250" name="Chart 4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2</xdr:col>
      <xdr:colOff>1343025</xdr:colOff>
      <xdr:row>45</xdr:row>
      <xdr:rowOff>171450</xdr:rowOff>
    </xdr:from>
    <xdr:ext cx="2905125" cy="952500"/>
    <xdr:graphicFrame>
      <xdr:nvGraphicFramePr>
        <xdr:cNvPr id="596183747" name="Chart 5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3</xdr:col>
      <xdr:colOff>133350</xdr:colOff>
      <xdr:row>51</xdr:row>
      <xdr:rowOff>171450</xdr:rowOff>
    </xdr:from>
    <xdr:ext cx="2905125" cy="3533775"/>
    <xdr:graphicFrame>
      <xdr:nvGraphicFramePr>
        <xdr:cNvPr id="6694733" name="Chart 6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942975</xdr:colOff>
      <xdr:row>12</xdr:row>
      <xdr:rowOff>28575</xdr:rowOff>
    </xdr:from>
    <xdr:ext cx="3733800" cy="2305050"/>
    <xdr:graphicFrame>
      <xdr:nvGraphicFramePr>
        <xdr:cNvPr id="397198043" name="Chart 7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9525</xdr:colOff>
      <xdr:row>29</xdr:row>
      <xdr:rowOff>85725</xdr:rowOff>
    </xdr:from>
    <xdr:ext cx="3943350" cy="2438400"/>
    <xdr:graphicFrame>
      <xdr:nvGraphicFramePr>
        <xdr:cNvPr id="1625793882" name="Chart 8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3</xdr:col>
      <xdr:colOff>1285875</xdr:colOff>
      <xdr:row>31</xdr:row>
      <xdr:rowOff>38100</xdr:rowOff>
    </xdr:from>
    <xdr:ext cx="3600450" cy="2219325"/>
    <xdr:graphicFrame>
      <xdr:nvGraphicFramePr>
        <xdr:cNvPr id="466029117" name="Chart 9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</xdr:col>
      <xdr:colOff>1285875</xdr:colOff>
      <xdr:row>48</xdr:row>
      <xdr:rowOff>66675</xdr:rowOff>
    </xdr:from>
    <xdr:ext cx="3943350" cy="2438400"/>
    <xdr:graphicFrame>
      <xdr:nvGraphicFramePr>
        <xdr:cNvPr id="882727840" name="Chart 10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8</xdr:col>
      <xdr:colOff>1276350</xdr:colOff>
      <xdr:row>14</xdr:row>
      <xdr:rowOff>95250</xdr:rowOff>
    </xdr:from>
    <xdr:ext cx="3533775" cy="2162175"/>
    <xdr:graphicFrame>
      <xdr:nvGraphicFramePr>
        <xdr:cNvPr id="226920223" name="Chart 11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1:B14" displayName="Table_1" id="1">
  <tableColumns count="2">
    <tableColumn name="Column1" id="1"/>
    <tableColumn name="Column2" id="2"/>
  </tableColumns>
  <tableStyleInfo name="BEP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1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31.11"/>
    <col customWidth="1" min="2" max="2" width="18.11"/>
    <col customWidth="1" min="3" max="3" width="16.22"/>
    <col customWidth="1" min="4" max="5" width="23.56"/>
    <col customWidth="1" min="6" max="6" width="27.22"/>
    <col customWidth="1" min="7" max="7" width="11.67"/>
    <col customWidth="1" min="8" max="27" width="8.33"/>
  </cols>
  <sheetData>
    <row r="1" ht="15.75" customHeight="1">
      <c r="A1" s="1" t="s">
        <v>0</v>
      </c>
    </row>
    <row r="2" ht="15.75" customHeight="1">
      <c r="B2" s="2" t="s">
        <v>1</v>
      </c>
      <c r="D2" s="3"/>
      <c r="E2" s="4" t="s">
        <v>2</v>
      </c>
    </row>
    <row r="3" ht="15.75" customHeight="1">
      <c r="B3" s="5" t="s">
        <v>3</v>
      </c>
      <c r="C3" s="2" t="s">
        <v>4</v>
      </c>
      <c r="D3" s="3"/>
      <c r="E3" s="3"/>
      <c r="F3" s="6"/>
      <c r="G3" s="7"/>
    </row>
    <row r="4" ht="15.75" customHeight="1">
      <c r="A4" s="8" t="s">
        <v>5</v>
      </c>
      <c r="B4" s="9">
        <v>2.0461465E7</v>
      </c>
      <c r="C4" s="10">
        <f>B4*B28*B27</f>
        <v>159599427000</v>
      </c>
      <c r="D4" s="3"/>
      <c r="E4" s="11" t="s">
        <v>6</v>
      </c>
      <c r="F4" s="12">
        <f>B9/(B6)</f>
        <v>0.6215074879</v>
      </c>
      <c r="G4" s="7"/>
    </row>
    <row r="5" ht="15.75" customHeight="1">
      <c r="A5" s="8" t="s">
        <v>7</v>
      </c>
      <c r="B5" s="9">
        <v>2.192103E7</v>
      </c>
      <c r="C5" s="10">
        <f t="shared" ref="C5:C6" si="1">B5*$B$28*$B$27</f>
        <v>170984034000</v>
      </c>
      <c r="D5" s="3"/>
      <c r="E5" s="13" t="s">
        <v>8</v>
      </c>
      <c r="F5" s="14">
        <f>B14/B5</f>
        <v>0.03190744231</v>
      </c>
    </row>
    <row r="6" ht="15.75" customHeight="1">
      <c r="A6" s="2" t="s">
        <v>9</v>
      </c>
      <c r="B6" s="9">
        <f>(B4+B5)/2</f>
        <v>21191247.5</v>
      </c>
      <c r="C6" s="10">
        <f t="shared" si="1"/>
        <v>165291730500</v>
      </c>
      <c r="D6" s="3"/>
      <c r="E6" s="15" t="s">
        <v>10</v>
      </c>
      <c r="F6" s="16">
        <f>B13/B9</f>
        <v>0.05012771327</v>
      </c>
    </row>
    <row r="7" ht="15.75" customHeight="1">
      <c r="B7" s="6"/>
      <c r="C7" s="10"/>
      <c r="D7" s="2"/>
      <c r="E7" s="17" t="s">
        <v>11</v>
      </c>
      <c r="F7" s="18">
        <f>C15/F16</f>
        <v>3856.781384</v>
      </c>
    </row>
    <row r="8" ht="15.75" customHeight="1">
      <c r="B8" s="3"/>
      <c r="C8" s="10"/>
      <c r="D8" s="2"/>
      <c r="E8" s="19" t="s">
        <v>12</v>
      </c>
      <c r="F8" s="20">
        <f>B15/B5</f>
        <v>0.5706990502</v>
      </c>
    </row>
    <row r="9" ht="15.75" customHeight="1">
      <c r="A9" s="2" t="s">
        <v>13</v>
      </c>
      <c r="B9" s="9">
        <v>1.3170519E7</v>
      </c>
      <c r="C9" s="10">
        <f t="shared" ref="C9:C11" si="2">B9*$B$28*$B$27</f>
        <v>102730048200</v>
      </c>
      <c r="D9" s="2"/>
      <c r="E9" s="19" t="s">
        <v>14</v>
      </c>
      <c r="F9" s="21">
        <f>C9/F16</f>
        <v>4060.315727</v>
      </c>
    </row>
    <row r="10" ht="15.75" customHeight="1">
      <c r="A10" s="8" t="s">
        <v>15</v>
      </c>
      <c r="B10" s="9">
        <v>1.0439689E7</v>
      </c>
      <c r="C10" s="10">
        <f t="shared" si="2"/>
        <v>81429574200</v>
      </c>
      <c r="D10" s="2"/>
      <c r="E10" s="22" t="s">
        <v>16</v>
      </c>
      <c r="F10" s="23">
        <f>B11/B10</f>
        <v>0.2615815471</v>
      </c>
    </row>
    <row r="11" ht="15.75" customHeight="1">
      <c r="A11" s="8" t="s">
        <v>17</v>
      </c>
      <c r="B11" s="9">
        <f>B9-B10</f>
        <v>2730830</v>
      </c>
      <c r="C11" s="10">
        <f t="shared" si="2"/>
        <v>21300474000</v>
      </c>
      <c r="D11" s="2"/>
      <c r="E11" s="22" t="s">
        <v>18</v>
      </c>
      <c r="F11" s="24">
        <f>B11/B9</f>
        <v>0.2073441449</v>
      </c>
    </row>
    <row r="12" ht="15.75" customHeight="1">
      <c r="A12" s="8" t="s">
        <v>19</v>
      </c>
      <c r="B12" s="25">
        <f>B11/B9</f>
        <v>0.2073441449</v>
      </c>
      <c r="C12" s="10"/>
      <c r="D12" s="2"/>
      <c r="E12" s="26" t="s">
        <v>20</v>
      </c>
      <c r="F12" s="27">
        <f>(F16)/B19</f>
        <v>119.6977869</v>
      </c>
    </row>
    <row r="13" ht="15.75" customHeight="1">
      <c r="A13" s="5" t="s">
        <v>21</v>
      </c>
      <c r="B13" s="5">
        <v>660208.0</v>
      </c>
      <c r="C13" s="10">
        <f t="shared" ref="C13:C15" si="3">B13*$B$28*$B$27</f>
        <v>5149622400</v>
      </c>
      <c r="D13" s="2"/>
      <c r="E13" s="17" t="s">
        <v>22</v>
      </c>
      <c r="F13" s="18">
        <f>C15/B19</f>
        <v>461648.1961</v>
      </c>
      <c r="G13" s="28"/>
    </row>
    <row r="14" ht="15.75" customHeight="1">
      <c r="A14" s="9" t="s">
        <v>23</v>
      </c>
      <c r="B14" s="9">
        <v>699444.0</v>
      </c>
      <c r="C14" s="10">
        <f t="shared" si="3"/>
        <v>5455663200</v>
      </c>
      <c r="D14" s="2"/>
      <c r="E14" s="29" t="s">
        <v>24</v>
      </c>
      <c r="F14" s="30">
        <f>C33/F16</f>
        <v>638.3483499</v>
      </c>
    </row>
    <row r="15" ht="15.75" customHeight="1">
      <c r="A15" s="2" t="s">
        <v>25</v>
      </c>
      <c r="B15" s="9">
        <v>1.2510311E7</v>
      </c>
      <c r="C15" s="10">
        <f t="shared" si="3"/>
        <v>97580425800</v>
      </c>
      <c r="D15" s="2"/>
      <c r="E15" s="29" t="s">
        <v>26</v>
      </c>
      <c r="F15" s="30">
        <f>C11/F16</f>
        <v>841.8826924</v>
      </c>
    </row>
    <row r="16" ht="15.75" customHeight="1">
      <c r="B16" s="31"/>
      <c r="C16" s="10"/>
      <c r="D16" s="2"/>
      <c r="E16" s="29" t="s">
        <v>27</v>
      </c>
      <c r="F16" s="29">
        <f>15132000 + 4546000 + 5623000</f>
        <v>25301000</v>
      </c>
    </row>
    <row r="17" ht="15.75" customHeight="1">
      <c r="A17" s="2" t="s">
        <v>28</v>
      </c>
      <c r="C17" s="10"/>
      <c r="D17" s="2"/>
      <c r="E17" s="17" t="s">
        <v>29</v>
      </c>
      <c r="F17" s="32">
        <f>C10/F16</f>
        <v>3218.433034</v>
      </c>
    </row>
    <row r="18" ht="15.75" customHeight="1">
      <c r="C18" s="10"/>
      <c r="E18" s="26" t="s">
        <v>30</v>
      </c>
      <c r="F18" s="33">
        <f>(B19/C15)*1000000</f>
        <v>2.166151646</v>
      </c>
    </row>
    <row r="19" ht="15.75" customHeight="1">
      <c r="A19" s="2" t="s">
        <v>31</v>
      </c>
      <c r="B19" s="2">
        <v>211374.0</v>
      </c>
      <c r="C19" s="10"/>
      <c r="E19" s="19" t="s">
        <v>32</v>
      </c>
      <c r="F19" s="34">
        <f>(F16/C15)*1000000</f>
        <v>259.2835581</v>
      </c>
    </row>
    <row r="20" ht="15.75" customHeight="1">
      <c r="A20" s="2" t="s">
        <v>33</v>
      </c>
      <c r="B20" s="8">
        <f>AVERAGE(9.09,9.53,100.14,15.4,10.22,36.35)</f>
        <v>30.12166667</v>
      </c>
      <c r="C20" s="10"/>
    </row>
    <row r="21" ht="15.75" customHeight="1">
      <c r="A21" s="2" t="s">
        <v>34</v>
      </c>
      <c r="B21" s="9">
        <f>AVERAGE(15610,7992,251574,19971,11363,38138)</f>
        <v>57441.33333</v>
      </c>
      <c r="C21" s="10">
        <f t="shared" ref="C21:C22" si="4">B21*$B$27</f>
        <v>448.0424</v>
      </c>
    </row>
    <row r="22" ht="15.75" customHeight="1">
      <c r="A22" s="2" t="s">
        <v>35</v>
      </c>
      <c r="B22" s="9">
        <v>7843.29</v>
      </c>
      <c r="C22" s="10">
        <f t="shared" si="4"/>
        <v>61.177662</v>
      </c>
    </row>
    <row r="23" ht="15.75" customHeight="1">
      <c r="A23" s="2" t="s">
        <v>36</v>
      </c>
      <c r="B23" s="2">
        <v>1953.0</v>
      </c>
      <c r="C23" s="10"/>
    </row>
    <row r="24" ht="15.75" customHeight="1">
      <c r="A24" s="2" t="s">
        <v>37</v>
      </c>
      <c r="B24" s="35">
        <f>(B20*B21)+(B22*B23)</f>
        <v>17048174.07</v>
      </c>
      <c r="C24" s="10">
        <f t="shared" ref="C24:C25" si="5">B24*$B$27</f>
        <v>132975.7577</v>
      </c>
    </row>
    <row r="25" ht="15.75" customHeight="1">
      <c r="A25" s="2" t="s">
        <v>38</v>
      </c>
      <c r="B25" s="35">
        <f>B19*B24</f>
        <v>3603540744933</v>
      </c>
      <c r="C25" s="10">
        <f t="shared" si="5"/>
        <v>28107617810</v>
      </c>
    </row>
    <row r="26" ht="15.75" customHeight="1"/>
    <row r="27" ht="15.75" customHeight="1">
      <c r="A27" s="2" t="s">
        <v>39</v>
      </c>
      <c r="B27" s="2">
        <v>0.0078</v>
      </c>
    </row>
    <row r="28" ht="15.75" customHeight="1">
      <c r="B28" s="2">
        <v>1000000.0</v>
      </c>
    </row>
    <row r="29" ht="15.75" customHeight="1"/>
    <row r="30" ht="15.75" customHeight="1">
      <c r="A30" s="2" t="s">
        <v>40</v>
      </c>
      <c r="B30" s="9"/>
    </row>
    <row r="31" ht="15.75" customHeight="1">
      <c r="A31" s="2" t="s">
        <v>41</v>
      </c>
      <c r="B31" s="9">
        <v>1331728.0</v>
      </c>
      <c r="C31" s="10">
        <f t="shared" ref="C31:C33" si="6">B31*$B$28*$B$27</f>
        <v>10387478400</v>
      </c>
    </row>
    <row r="32" ht="15.75" customHeight="1">
      <c r="A32" s="2" t="s">
        <v>42</v>
      </c>
      <c r="B32" s="9">
        <v>738894.0</v>
      </c>
      <c r="C32" s="10">
        <f t="shared" si="6"/>
        <v>5763373200</v>
      </c>
    </row>
    <row r="33" ht="15.75" customHeight="1">
      <c r="A33" s="2" t="s">
        <v>43</v>
      </c>
      <c r="B33" s="35">
        <f>SUM(B31:B32)</f>
        <v>2070622</v>
      </c>
      <c r="C33" s="10">
        <f t="shared" si="6"/>
        <v>16150851600</v>
      </c>
    </row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</sheetData>
  <mergeCells count="2">
    <mergeCell ref="A1:E1"/>
    <mergeCell ref="E2:F2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25.0"/>
    <col customWidth="1" min="2" max="2" width="23.0"/>
    <col customWidth="1" min="3" max="3" width="23.22"/>
    <col customWidth="1" min="5" max="5" width="20.22"/>
    <col customWidth="1" min="7" max="8" width="15.33"/>
    <col customWidth="1" min="9" max="9" width="29.44"/>
    <col customWidth="1" min="11" max="12" width="15.33"/>
  </cols>
  <sheetData>
    <row r="2">
      <c r="A2" s="4" t="s">
        <v>44</v>
      </c>
    </row>
    <row r="3">
      <c r="A3" s="2" t="s">
        <v>45</v>
      </c>
      <c r="B3" s="2" t="s">
        <v>3</v>
      </c>
      <c r="C3" s="2" t="s">
        <v>4</v>
      </c>
      <c r="E3" s="2" t="s">
        <v>46</v>
      </c>
      <c r="F3" s="2">
        <v>0.0078</v>
      </c>
      <c r="M3" s="36"/>
      <c r="N3" s="36"/>
    </row>
    <row r="4">
      <c r="A4" s="2"/>
      <c r="F4" s="2">
        <v>1000000.0</v>
      </c>
      <c r="M4" s="36"/>
      <c r="N4" s="36"/>
    </row>
    <row r="5">
      <c r="M5" s="36"/>
      <c r="N5" s="36"/>
    </row>
    <row r="6">
      <c r="E6" s="37" t="s">
        <v>47</v>
      </c>
      <c r="F6" s="38">
        <f>B11+B14-B19</f>
        <v>3006214</v>
      </c>
      <c r="G6" s="21">
        <f>F6*$F$3*$F$4</f>
        <v>23448469200</v>
      </c>
      <c r="H6" s="39"/>
      <c r="M6" s="36"/>
      <c r="N6" s="36"/>
    </row>
    <row r="7">
      <c r="A7" s="2"/>
      <c r="F7" s="40"/>
      <c r="H7" s="41"/>
      <c r="M7" s="36"/>
      <c r="N7" s="36"/>
    </row>
    <row r="8">
      <c r="A8" s="2" t="s">
        <v>48</v>
      </c>
      <c r="E8" s="42" t="s">
        <v>49</v>
      </c>
      <c r="F8" s="40"/>
      <c r="H8" s="43">
        <f>B11/B28</f>
        <v>71.95698362</v>
      </c>
      <c r="M8" s="36"/>
      <c r="N8" s="36"/>
    </row>
    <row r="9">
      <c r="A9" s="2" t="s">
        <v>50</v>
      </c>
      <c r="B9" s="9">
        <v>801814.0</v>
      </c>
      <c r="C9" s="10">
        <f t="shared" ref="C9:C11" si="1">B9*$F$3*$F$4</f>
        <v>6254149200</v>
      </c>
      <c r="E9" s="42" t="s">
        <v>51</v>
      </c>
      <c r="F9" s="40"/>
      <c r="H9" s="43">
        <f>B14/B35</f>
        <v>54.03839137</v>
      </c>
      <c r="M9" s="36"/>
      <c r="N9" s="36"/>
    </row>
    <row r="10">
      <c r="A10" s="2" t="s">
        <v>52</v>
      </c>
      <c r="B10" s="9">
        <v>1794654.0</v>
      </c>
      <c r="C10" s="10">
        <f t="shared" si="1"/>
        <v>13998301200</v>
      </c>
      <c r="E10" s="42" t="s">
        <v>53</v>
      </c>
      <c r="F10" s="40"/>
      <c r="H10" s="43">
        <f>(B39*B40)/B41</f>
        <v>39.7125537</v>
      </c>
      <c r="M10" s="36"/>
      <c r="N10" s="36"/>
    </row>
    <row r="11">
      <c r="A11" s="2" t="s">
        <v>54</v>
      </c>
      <c r="B11" s="35">
        <f>B9+B10</f>
        <v>2596468</v>
      </c>
      <c r="C11" s="10">
        <f t="shared" si="1"/>
        <v>20252450400</v>
      </c>
      <c r="M11" s="36"/>
      <c r="N11" s="36"/>
    </row>
    <row r="12">
      <c r="C12" s="10"/>
      <c r="E12" s="44" t="s">
        <v>55</v>
      </c>
      <c r="F12" s="44"/>
      <c r="G12" s="45">
        <f>H19+H16</f>
        <v>68329505400</v>
      </c>
      <c r="H12" s="44"/>
      <c r="M12" s="36"/>
      <c r="N12" s="36"/>
    </row>
    <row r="13">
      <c r="C13" s="10"/>
      <c r="E13" s="46" t="s">
        <v>56</v>
      </c>
      <c r="G13" s="5" t="s">
        <v>57</v>
      </c>
      <c r="H13" s="47" t="s">
        <v>4</v>
      </c>
      <c r="M13" s="36"/>
      <c r="N13" s="36"/>
    </row>
    <row r="14">
      <c r="A14" s="2" t="s">
        <v>58</v>
      </c>
      <c r="B14" s="9">
        <v>1545600.0</v>
      </c>
      <c r="C14" s="10">
        <f>B14*$F$3*$F$4</f>
        <v>12055680000</v>
      </c>
      <c r="E14" s="36" t="s">
        <v>59</v>
      </c>
      <c r="F14" s="36"/>
      <c r="G14" s="9">
        <v>3021514.0</v>
      </c>
      <c r="H14" s="48">
        <f t="shared" ref="H14:H16" si="2">G14*$F$3*$F$4</f>
        <v>23567809200</v>
      </c>
      <c r="M14" s="36"/>
      <c r="N14" s="36"/>
    </row>
    <row r="15">
      <c r="C15" s="10"/>
      <c r="E15" s="36" t="s">
        <v>60</v>
      </c>
      <c r="F15" s="36"/>
      <c r="G15" s="9">
        <v>4919916.0</v>
      </c>
      <c r="H15" s="48">
        <f t="shared" si="2"/>
        <v>38375344800</v>
      </c>
      <c r="M15" s="49"/>
      <c r="N15" s="36"/>
    </row>
    <row r="16">
      <c r="A16" s="2" t="s">
        <v>61</v>
      </c>
      <c r="C16" s="10"/>
      <c r="E16" s="47" t="s">
        <v>43</v>
      </c>
      <c r="F16" s="36"/>
      <c r="G16" s="9">
        <f>G14+G15</f>
        <v>7941430</v>
      </c>
      <c r="H16" s="48">
        <f t="shared" si="2"/>
        <v>61943154000</v>
      </c>
    </row>
    <row r="17">
      <c r="A17" s="2" t="s">
        <v>62</v>
      </c>
      <c r="B17" s="9">
        <v>1088061.0</v>
      </c>
      <c r="C17" s="10">
        <f t="shared" ref="C17:C19" si="3">B17*$F$3*$F$4</f>
        <v>8486875800</v>
      </c>
      <c r="E17" s="36"/>
      <c r="F17" s="36"/>
      <c r="G17" s="9"/>
      <c r="H17" s="48"/>
      <c r="I17" s="49"/>
      <c r="J17" s="49"/>
      <c r="K17" s="49"/>
    </row>
    <row r="18">
      <c r="A18" s="2" t="s">
        <v>63</v>
      </c>
      <c r="B18" s="9">
        <v>47793.0</v>
      </c>
      <c r="C18" s="10">
        <f t="shared" si="3"/>
        <v>372785400</v>
      </c>
      <c r="E18" s="46" t="s">
        <v>64</v>
      </c>
      <c r="G18" s="9"/>
      <c r="H18" s="48"/>
    </row>
    <row r="19">
      <c r="A19" s="2" t="s">
        <v>54</v>
      </c>
      <c r="B19" s="35">
        <f>SUM(B17:B18)</f>
        <v>1135854</v>
      </c>
      <c r="C19" s="10">
        <f t="shared" si="3"/>
        <v>8859661200</v>
      </c>
      <c r="E19" s="36" t="s">
        <v>65</v>
      </c>
      <c r="F19" s="36"/>
      <c r="G19" s="9">
        <v>818763.0</v>
      </c>
      <c r="H19" s="48">
        <f>G19*$F$3*$F$4</f>
        <v>6386351400</v>
      </c>
    </row>
    <row r="20">
      <c r="C20" s="10"/>
      <c r="E20" s="36"/>
      <c r="F20" s="36"/>
      <c r="G20" s="36"/>
      <c r="H20" s="36"/>
    </row>
    <row r="21">
      <c r="C21" s="10"/>
      <c r="E21" s="46" t="s">
        <v>66</v>
      </c>
      <c r="G21" s="50"/>
      <c r="H21" s="51" t="s">
        <v>67</v>
      </c>
    </row>
    <row r="22">
      <c r="A22" s="52" t="s">
        <v>47</v>
      </c>
      <c r="B22" s="52">
        <f>B11+B14-B19</f>
        <v>3006214</v>
      </c>
      <c r="C22" s="10">
        <f>B22*$F$3*$F$4</f>
        <v>23448469200</v>
      </c>
    </row>
    <row r="23">
      <c r="C23" s="10"/>
      <c r="E23" s="53" t="s">
        <v>68</v>
      </c>
    </row>
    <row r="24">
      <c r="A24" s="2"/>
      <c r="C24" s="10"/>
    </row>
    <row r="25">
      <c r="A25" s="2" t="s">
        <v>69</v>
      </c>
      <c r="C25" s="10"/>
    </row>
    <row r="26">
      <c r="A26" s="2" t="s">
        <v>70</v>
      </c>
      <c r="B26" s="9">
        <v>1.3170519E7</v>
      </c>
      <c r="C26" s="10">
        <f>B26*$F$3*$F$4</f>
        <v>102730048200</v>
      </c>
    </row>
    <row r="27">
      <c r="A27" s="2" t="s">
        <v>71</v>
      </c>
      <c r="B27" s="2">
        <v>365.0</v>
      </c>
      <c r="C27" s="10"/>
    </row>
    <row r="28">
      <c r="A28" s="2" t="s">
        <v>72</v>
      </c>
      <c r="B28" s="35">
        <f>B26/B27</f>
        <v>36083.6137</v>
      </c>
      <c r="C28" s="10">
        <f>B28*$F$3*$F$4</f>
        <v>281452186.8</v>
      </c>
    </row>
    <row r="29">
      <c r="A29" s="2" t="s">
        <v>49</v>
      </c>
      <c r="B29" s="54">
        <f>B11/B28</f>
        <v>71.95698362</v>
      </c>
      <c r="C29" s="10"/>
    </row>
    <row r="30">
      <c r="C30" s="10"/>
    </row>
    <row r="31">
      <c r="C31" s="10"/>
    </row>
    <row r="32">
      <c r="A32" s="2" t="s">
        <v>73</v>
      </c>
      <c r="C32" s="10"/>
    </row>
    <row r="33">
      <c r="A33" s="2" t="s">
        <v>74</v>
      </c>
      <c r="B33" s="9">
        <v>1.0439689E7</v>
      </c>
      <c r="C33" s="10">
        <f>B33*$F$3*$F$4</f>
        <v>81429574200</v>
      </c>
    </row>
    <row r="34">
      <c r="A34" s="2" t="s">
        <v>75</v>
      </c>
      <c r="B34" s="2">
        <v>365.0</v>
      </c>
      <c r="C34" s="10"/>
    </row>
    <row r="35">
      <c r="A35" s="2" t="s">
        <v>76</v>
      </c>
      <c r="B35" s="35">
        <f>B33/B34</f>
        <v>28601.88767</v>
      </c>
      <c r="C35" s="10">
        <f>B35*$F$3*$F$4</f>
        <v>223094723.8</v>
      </c>
    </row>
    <row r="36">
      <c r="A36" s="2" t="s">
        <v>77</v>
      </c>
      <c r="B36" s="55">
        <f>B14/B35</f>
        <v>54.03839137</v>
      </c>
      <c r="C36" s="10"/>
    </row>
    <row r="37">
      <c r="C37" s="10"/>
    </row>
    <row r="38">
      <c r="C38" s="10"/>
    </row>
    <row r="39">
      <c r="A39" s="2" t="s">
        <v>78</v>
      </c>
      <c r="B39" s="35">
        <v>1135854.0</v>
      </c>
      <c r="C39" s="10">
        <f>B39*$F$3*$F$4</f>
        <v>8859661200</v>
      </c>
    </row>
    <row r="40">
      <c r="A40" s="2" t="s">
        <v>75</v>
      </c>
      <c r="B40" s="2">
        <v>365.0</v>
      </c>
      <c r="C40" s="10"/>
    </row>
    <row r="41">
      <c r="A41" s="2" t="s">
        <v>15</v>
      </c>
      <c r="B41" s="35">
        <v>1.0439689E7</v>
      </c>
      <c r="C41" s="10">
        <f>B41*$F$3*$F$4</f>
        <v>81429574200</v>
      </c>
    </row>
    <row r="42">
      <c r="A42" s="2" t="s">
        <v>79</v>
      </c>
      <c r="B42" s="54">
        <f>(B39*B40)/B41</f>
        <v>39.7125537</v>
      </c>
      <c r="C42" s="10"/>
    </row>
  </sheetData>
  <mergeCells count="4">
    <mergeCell ref="A2:C2"/>
    <mergeCell ref="E13:F13"/>
    <mergeCell ref="E18:F18"/>
    <mergeCell ref="E21:F2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31.22"/>
    <col customWidth="1" min="2" max="2" width="14.44"/>
    <col customWidth="1" min="3" max="3" width="16.22"/>
    <col customWidth="1" min="6" max="6" width="12.56"/>
  </cols>
  <sheetData>
    <row r="1">
      <c r="A1" s="4" t="s">
        <v>80</v>
      </c>
    </row>
    <row r="2">
      <c r="F2" s="2" t="s">
        <v>46</v>
      </c>
      <c r="G2" s="2">
        <v>0.0078</v>
      </c>
    </row>
    <row r="3">
      <c r="G3" s="2">
        <v>1000000.0</v>
      </c>
    </row>
    <row r="4">
      <c r="A4" s="56" t="s">
        <v>70</v>
      </c>
      <c r="B4" s="9">
        <v>1.3170519E7</v>
      </c>
      <c r="C4" s="10">
        <f>B4*G2*G3</f>
        <v>102730048200</v>
      </c>
    </row>
    <row r="6">
      <c r="A6" s="56" t="s">
        <v>81</v>
      </c>
      <c r="B6" s="57">
        <v>2.5301E7</v>
      </c>
    </row>
    <row r="8">
      <c r="A8" s="56" t="s">
        <v>82</v>
      </c>
      <c r="B8" s="35">
        <f>(B4*1000)/B6</f>
        <v>520.5532983</v>
      </c>
      <c r="C8" s="10">
        <f>C4/B6</f>
        <v>4060.315727</v>
      </c>
    </row>
    <row r="10">
      <c r="A10" s="58" t="s">
        <v>83</v>
      </c>
      <c r="B10" s="59">
        <f t="shared" ref="B10:C10" si="1">B8</f>
        <v>520.5532983</v>
      </c>
      <c r="C10" s="10">
        <f t="shared" si="1"/>
        <v>4060.315727</v>
      </c>
    </row>
    <row r="11">
      <c r="A11" s="58" t="s">
        <v>84</v>
      </c>
      <c r="B11" s="2">
        <v>1.0</v>
      </c>
      <c r="C11" s="2">
        <v>1.0</v>
      </c>
    </row>
    <row r="14">
      <c r="A14" s="56" t="s">
        <v>85</v>
      </c>
    </row>
    <row r="15">
      <c r="A15" s="2"/>
    </row>
    <row r="16">
      <c r="A16" s="19" t="s">
        <v>86</v>
      </c>
      <c r="B16" s="4" t="s">
        <v>87</v>
      </c>
    </row>
    <row r="17">
      <c r="A17" s="60" t="s">
        <v>88</v>
      </c>
      <c r="B17" s="61">
        <v>1.498E7</v>
      </c>
    </row>
    <row r="18">
      <c r="A18" s="60" t="s">
        <v>89</v>
      </c>
      <c r="B18" s="61">
        <v>4657000.0</v>
      </c>
    </row>
    <row r="19">
      <c r="A19" s="60" t="s">
        <v>90</v>
      </c>
      <c r="B19" s="61">
        <v>2.8048E7</v>
      </c>
    </row>
    <row r="20">
      <c r="A20" s="60" t="s">
        <v>91</v>
      </c>
      <c r="B20" s="61">
        <v>1.0E7</v>
      </c>
    </row>
    <row r="21">
      <c r="A21" s="60" t="s">
        <v>92</v>
      </c>
      <c r="B21" s="62">
        <f>SUM(B17:B20)</f>
        <v>57685000</v>
      </c>
    </row>
    <row r="23">
      <c r="A23" s="19" t="s">
        <v>93</v>
      </c>
      <c r="B23" s="4" t="s">
        <v>87</v>
      </c>
    </row>
    <row r="24">
      <c r="A24" s="60" t="s">
        <v>94</v>
      </c>
      <c r="B24" s="61">
        <v>1.1427E7</v>
      </c>
    </row>
    <row r="25">
      <c r="A25" s="60" t="s">
        <v>91</v>
      </c>
      <c r="B25" s="62">
        <f>679000+176000+1150000</f>
        <v>2005000</v>
      </c>
    </row>
    <row r="26">
      <c r="A26" s="60" t="s">
        <v>95</v>
      </c>
      <c r="B26" s="62">
        <f>SUM(B24:B25)</f>
        <v>13432000</v>
      </c>
    </row>
    <row r="27">
      <c r="A27" s="60"/>
    </row>
    <row r="28">
      <c r="A28" s="19" t="s">
        <v>96</v>
      </c>
      <c r="B28" s="4" t="s">
        <v>87</v>
      </c>
    </row>
    <row r="29">
      <c r="A29" s="60" t="s">
        <v>97</v>
      </c>
      <c r="B29" s="61">
        <v>1.54E7</v>
      </c>
    </row>
    <row r="30">
      <c r="A30" s="2"/>
    </row>
    <row r="31">
      <c r="A31" s="2" t="s">
        <v>98</v>
      </c>
      <c r="B31" s="62">
        <f>B21+B26+B29</f>
        <v>86517000</v>
      </c>
    </row>
    <row r="34">
      <c r="A34" s="56" t="s">
        <v>99</v>
      </c>
      <c r="B34" s="4" t="s">
        <v>87</v>
      </c>
    </row>
    <row r="35">
      <c r="A35" s="19" t="s">
        <v>93</v>
      </c>
      <c r="B35" s="61">
        <v>1.5132E7</v>
      </c>
    </row>
    <row r="36">
      <c r="A36" s="19" t="s">
        <v>86</v>
      </c>
      <c r="B36" s="61">
        <v>4546000.0</v>
      </c>
    </row>
    <row r="37">
      <c r="A37" s="19" t="s">
        <v>100</v>
      </c>
      <c r="B37" s="61">
        <v>5623000.0</v>
      </c>
    </row>
    <row r="39">
      <c r="A39" s="56" t="s">
        <v>101</v>
      </c>
      <c r="B39" s="4" t="s">
        <v>87</v>
      </c>
    </row>
    <row r="40">
      <c r="A40" s="60" t="s">
        <v>89</v>
      </c>
      <c r="B40" s="62">
        <f>215000+592000+336000</f>
        <v>1143000</v>
      </c>
    </row>
    <row r="41">
      <c r="A41" s="60" t="s">
        <v>102</v>
      </c>
      <c r="B41" s="62">
        <f>332000+1480000+2617000</f>
        <v>4429000</v>
      </c>
    </row>
    <row r="42">
      <c r="A42" s="60" t="s">
        <v>103</v>
      </c>
      <c r="B42" s="63">
        <f>234000+101000+929000</f>
        <v>1264000</v>
      </c>
    </row>
    <row r="43">
      <c r="A43" s="60" t="s">
        <v>94</v>
      </c>
      <c r="B43" s="62">
        <f>13319000+2247000+1405000</f>
        <v>16971000</v>
      </c>
    </row>
    <row r="44">
      <c r="A44" s="60" t="s">
        <v>104</v>
      </c>
      <c r="B44" s="62">
        <f>1032000+126000+336000</f>
        <v>1494000</v>
      </c>
    </row>
    <row r="47">
      <c r="A47" s="56" t="s">
        <v>105</v>
      </c>
      <c r="B47" s="4" t="s">
        <v>106</v>
      </c>
      <c r="C47" s="4" t="s">
        <v>107</v>
      </c>
    </row>
    <row r="48">
      <c r="A48" s="19" t="s">
        <v>93</v>
      </c>
      <c r="B48" s="64">
        <v>1782.2</v>
      </c>
      <c r="C48" s="65">
        <f t="shared" ref="C48:C51" si="2">B48*$G$2*$G$3</f>
        <v>13901160</v>
      </c>
    </row>
    <row r="49">
      <c r="A49" s="19" t="s">
        <v>86</v>
      </c>
      <c r="B49" s="64">
        <v>8779.3</v>
      </c>
      <c r="C49" s="65">
        <f t="shared" si="2"/>
        <v>68478540</v>
      </c>
    </row>
    <row r="50">
      <c r="A50" s="19" t="s">
        <v>100</v>
      </c>
      <c r="B50" s="66">
        <v>341.8</v>
      </c>
      <c r="C50" s="65">
        <f t="shared" si="2"/>
        <v>2666040</v>
      </c>
    </row>
    <row r="51">
      <c r="A51" s="19" t="s">
        <v>108</v>
      </c>
      <c r="B51" s="64">
        <v>2506.7</v>
      </c>
      <c r="C51" s="65">
        <f t="shared" si="2"/>
        <v>19552260</v>
      </c>
    </row>
    <row r="52">
      <c r="B52" s="63"/>
      <c r="C52" s="65"/>
    </row>
    <row r="53">
      <c r="A53" s="56" t="s">
        <v>109</v>
      </c>
      <c r="B53" s="4" t="s">
        <v>106</v>
      </c>
      <c r="C53" s="4" t="s">
        <v>107</v>
      </c>
    </row>
    <row r="54">
      <c r="A54" s="60" t="s">
        <v>89</v>
      </c>
      <c r="B54" s="64">
        <v>3867.8</v>
      </c>
      <c r="C54" s="65">
        <f t="shared" ref="C54:C58" si="3">B54*$G$2*$G$3</f>
        <v>30168840</v>
      </c>
    </row>
    <row r="55">
      <c r="A55" s="60" t="s">
        <v>102</v>
      </c>
      <c r="B55" s="64">
        <v>7480.8</v>
      </c>
      <c r="C55" s="65">
        <f t="shared" si="3"/>
        <v>58350240</v>
      </c>
    </row>
    <row r="56">
      <c r="A56" s="60" t="s">
        <v>103</v>
      </c>
      <c r="B56" s="64">
        <v>681.8</v>
      </c>
      <c r="C56" s="65">
        <f t="shared" si="3"/>
        <v>5318040</v>
      </c>
    </row>
    <row r="57">
      <c r="A57" s="60" t="s">
        <v>94</v>
      </c>
      <c r="B57" s="64">
        <v>3458.7</v>
      </c>
      <c r="C57" s="65">
        <f t="shared" si="3"/>
        <v>26977860</v>
      </c>
    </row>
    <row r="58">
      <c r="A58" s="60" t="s">
        <v>104</v>
      </c>
      <c r="B58" s="64">
        <v>434.4</v>
      </c>
      <c r="C58" s="65">
        <f t="shared" si="3"/>
        <v>3388320</v>
      </c>
    </row>
  </sheetData>
  <mergeCells count="1">
    <mergeCell ref="A1:C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16.56"/>
    <col customWidth="1" min="2" max="2" width="21.78"/>
    <col customWidth="1" min="3" max="3" width="31.11"/>
    <col customWidth="1" min="4" max="4" width="15.33"/>
    <col customWidth="1" min="8" max="8" width="14.44"/>
    <col customWidth="1" min="9" max="9" width="14.89"/>
  </cols>
  <sheetData>
    <row r="1">
      <c r="A1" s="2" t="s">
        <v>110</v>
      </c>
      <c r="B1" s="67">
        <f>D3+I3</f>
        <v>95592252600</v>
      </c>
    </row>
    <row r="2">
      <c r="K2" s="2" t="s">
        <v>39</v>
      </c>
      <c r="L2" s="2">
        <v>0.0078</v>
      </c>
    </row>
    <row r="3">
      <c r="A3" s="19" t="s">
        <v>111</v>
      </c>
      <c r="D3" s="68">
        <f>C4+C17</f>
        <v>93730361400</v>
      </c>
      <c r="E3" s="2"/>
      <c r="F3" s="19" t="s">
        <v>112</v>
      </c>
      <c r="H3" s="69"/>
      <c r="I3" s="68">
        <f>SUM(H4:H5)</f>
        <v>1861891200</v>
      </c>
      <c r="L3" s="2">
        <v>1000000.0</v>
      </c>
    </row>
    <row r="4">
      <c r="A4" s="70" t="s">
        <v>113</v>
      </c>
      <c r="B4" s="71"/>
      <c r="C4" s="72">
        <v>8.14295742E10</v>
      </c>
      <c r="F4" s="70" t="s">
        <v>114</v>
      </c>
      <c r="H4" s="72">
        <f>229035*$L$2*$L$3</f>
        <v>1786473000</v>
      </c>
    </row>
    <row r="5">
      <c r="B5" s="60" t="s">
        <v>115</v>
      </c>
      <c r="C5" s="10">
        <f>D12</f>
        <v>28107617810</v>
      </c>
      <c r="F5" s="70" t="s">
        <v>116</v>
      </c>
      <c r="H5" s="72">
        <f>9669*$L$2*$L$3</f>
        <v>75418200</v>
      </c>
    </row>
    <row r="6">
      <c r="C6" s="73" t="s">
        <v>31</v>
      </c>
      <c r="D6" s="8">
        <v>211374.0</v>
      </c>
    </row>
    <row r="7">
      <c r="C7" s="73" t="s">
        <v>33</v>
      </c>
      <c r="D7" s="8">
        <v>30.121666666666666</v>
      </c>
    </row>
    <row r="8">
      <c r="C8" s="73" t="s">
        <v>34</v>
      </c>
      <c r="D8" s="10">
        <v>448.0424</v>
      </c>
    </row>
    <row r="9">
      <c r="C9" s="73" t="s">
        <v>35</v>
      </c>
      <c r="D9" s="10">
        <v>61.177662</v>
      </c>
    </row>
    <row r="10">
      <c r="C10" s="73" t="s">
        <v>36</v>
      </c>
      <c r="D10" s="8">
        <v>1953.0</v>
      </c>
      <c r="F10" s="2" t="s">
        <v>117</v>
      </c>
    </row>
    <row r="11">
      <c r="C11" s="73" t="s">
        <v>37</v>
      </c>
      <c r="D11" s="10">
        <v>132975.7577113333</v>
      </c>
      <c r="F11" s="19" t="s">
        <v>111</v>
      </c>
      <c r="H11" s="10">
        <f>D3</f>
        <v>93730361400</v>
      </c>
    </row>
    <row r="12">
      <c r="C12" s="73" t="s">
        <v>38</v>
      </c>
      <c r="D12" s="10">
        <v>2.810761781047537E10</v>
      </c>
      <c r="F12" s="19" t="s">
        <v>112</v>
      </c>
      <c r="H12" s="10">
        <f>I3</f>
        <v>1861891200</v>
      </c>
      <c r="J12" s="19" t="s">
        <v>112</v>
      </c>
      <c r="L12" s="69"/>
    </row>
    <row r="13">
      <c r="B13" s="60" t="s">
        <v>118</v>
      </c>
      <c r="C13" s="10">
        <f>C4-D12-C15</f>
        <v>49749642190</v>
      </c>
      <c r="J13" s="70" t="s">
        <v>114</v>
      </c>
      <c r="K13" s="72">
        <f>229035*$L$2*$L$3</f>
        <v>1786473000</v>
      </c>
      <c r="L13" s="72"/>
    </row>
    <row r="14">
      <c r="J14" s="70" t="s">
        <v>116</v>
      </c>
      <c r="K14" s="72">
        <f>9669*$L$2*$L$3</f>
        <v>75418200</v>
      </c>
      <c r="L14" s="72"/>
    </row>
    <row r="15">
      <c r="B15" s="60" t="s">
        <v>119</v>
      </c>
      <c r="C15" s="72">
        <f>457989*L2*L3</f>
        <v>3572314200</v>
      </c>
    </row>
    <row r="17">
      <c r="A17" s="70" t="s">
        <v>120</v>
      </c>
      <c r="C17" s="10">
        <f>SUM(C18:C20)</f>
        <v>12300787200</v>
      </c>
    </row>
    <row r="18">
      <c r="B18" s="60" t="s">
        <v>121</v>
      </c>
      <c r="C18" s="72">
        <f>563371*$L$2*$L$3</f>
        <v>4394293800</v>
      </c>
    </row>
    <row r="19">
      <c r="B19" s="60" t="s">
        <v>122</v>
      </c>
      <c r="C19" s="72">
        <f>955247*L2*L3</f>
        <v>7450926600</v>
      </c>
    </row>
    <row r="20">
      <c r="B20" s="60" t="s">
        <v>123</v>
      </c>
      <c r="C20" s="72">
        <f>58406*L2*L3</f>
        <v>455566800</v>
      </c>
    </row>
    <row r="27">
      <c r="A27" s="19" t="s">
        <v>111</v>
      </c>
    </row>
    <row r="28">
      <c r="A28" s="70" t="s">
        <v>113</v>
      </c>
      <c r="B28" s="74">
        <f>C4</f>
        <v>81429574200</v>
      </c>
      <c r="C28" s="10">
        <f>C4</f>
        <v>81429574200</v>
      </c>
      <c r="E28" s="70" t="s">
        <v>113</v>
      </c>
    </row>
    <row r="29">
      <c r="A29" s="70" t="s">
        <v>120</v>
      </c>
      <c r="B29" s="74">
        <f>C17</f>
        <v>12300787200</v>
      </c>
      <c r="C29" s="10">
        <f>C17</f>
        <v>12300787200</v>
      </c>
      <c r="E29" s="60" t="s">
        <v>115</v>
      </c>
      <c r="F29" s="10">
        <f>C5</f>
        <v>28107617810</v>
      </c>
    </row>
    <row r="30">
      <c r="E30" s="60" t="s">
        <v>118</v>
      </c>
      <c r="F30" s="10">
        <f>C13</f>
        <v>49749642190</v>
      </c>
    </row>
    <row r="31">
      <c r="E31" s="60" t="s">
        <v>119</v>
      </c>
      <c r="F31" s="10">
        <f>C15</f>
        <v>3572314200</v>
      </c>
    </row>
    <row r="45">
      <c r="E45" s="70" t="s">
        <v>120</v>
      </c>
    </row>
    <row r="46">
      <c r="E46" s="73" t="s">
        <v>121</v>
      </c>
      <c r="F46" s="73">
        <v>4.394293799999999E9</v>
      </c>
    </row>
    <row r="47">
      <c r="E47" s="73" t="s">
        <v>122</v>
      </c>
      <c r="F47" s="73">
        <v>7.4509266E9</v>
      </c>
    </row>
    <row r="48">
      <c r="E48" s="73" t="s">
        <v>123</v>
      </c>
      <c r="F48" s="73">
        <v>4.555668E8</v>
      </c>
    </row>
  </sheetData>
  <mergeCells count="11">
    <mergeCell ref="A17:B17"/>
    <mergeCell ref="A27:B27"/>
    <mergeCell ref="E28:F28"/>
    <mergeCell ref="E45:F45"/>
    <mergeCell ref="A3:B3"/>
    <mergeCell ref="F3:G3"/>
    <mergeCell ref="F4:G4"/>
    <mergeCell ref="F5:G5"/>
    <mergeCell ref="F11:G11"/>
    <mergeCell ref="F12:G12"/>
    <mergeCell ref="J12:K12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13.11"/>
    <col customWidth="1" min="2" max="2" width="16.78"/>
    <col customWidth="1" min="3" max="5" width="15.33"/>
  </cols>
  <sheetData>
    <row r="1">
      <c r="A1" s="75" t="s">
        <v>124</v>
      </c>
    </row>
    <row r="2">
      <c r="A2" s="76" t="s">
        <v>125</v>
      </c>
      <c r="B2" s="77">
        <f>'BUSINESS PERFORMANCE MODEL '!C9</f>
        <v>102730048200</v>
      </c>
      <c r="C2" s="2" t="s">
        <v>126</v>
      </c>
      <c r="D2" s="10">
        <f>B2-C4</f>
        <v>86856946800</v>
      </c>
    </row>
    <row r="3">
      <c r="A3" s="76" t="s">
        <v>127</v>
      </c>
      <c r="B3" s="77">
        <f>'COST MODEL'!B1</f>
        <v>95592252600</v>
      </c>
      <c r="C3" s="2" t="s">
        <v>128</v>
      </c>
    </row>
    <row r="4">
      <c r="B4" s="2" t="s">
        <v>129</v>
      </c>
      <c r="C4" s="10">
        <f>'COST MODEL'!C15+'COST MODEL'!C18+'COST MODEL'!C19+'COST MODEL'!C20</f>
        <v>15873101400</v>
      </c>
    </row>
    <row r="5">
      <c r="B5" s="2" t="s">
        <v>130</v>
      </c>
      <c r="C5" s="10">
        <f>D6+D7</f>
        <v>3077.240425</v>
      </c>
    </row>
    <row r="6">
      <c r="A6" s="4"/>
      <c r="C6" s="2" t="s">
        <v>131</v>
      </c>
      <c r="D6" s="10">
        <f>'COST MODEL'!D12/'BUSINESS PERFORMANCE MODEL '!F16</f>
        <v>1110.929126</v>
      </c>
    </row>
    <row r="7">
      <c r="C7" s="2" t="s">
        <v>132</v>
      </c>
      <c r="D7" s="10">
        <f>'COST MODEL'!C13/'BUSINESS PERFORMANCE MODEL '!F16</f>
        <v>1966.3113</v>
      </c>
    </row>
    <row r="9">
      <c r="A9" s="78" t="s">
        <v>133</v>
      </c>
      <c r="B9" s="79">
        <f>B2/'BUSINESS PERFORMANCE MODEL '!F16</f>
        <v>4060.315727</v>
      </c>
    </row>
    <row r="10">
      <c r="A10" s="8" t="s">
        <v>134</v>
      </c>
      <c r="B10" s="10">
        <f>B9-C5</f>
        <v>983.0753014</v>
      </c>
    </row>
    <row r="11">
      <c r="A11" s="39" t="s">
        <v>135</v>
      </c>
      <c r="B11" s="34">
        <f>C4/B10</f>
        <v>16146373.91</v>
      </c>
    </row>
    <row r="12">
      <c r="A12" s="19" t="s">
        <v>136</v>
      </c>
      <c r="B12" s="21">
        <f>B11*B9</f>
        <v>65559375925</v>
      </c>
      <c r="C12" s="2"/>
    </row>
    <row r="13">
      <c r="A13" s="80" t="s">
        <v>137</v>
      </c>
      <c r="B13" s="81">
        <f>'BUSINESS PERFORMANCE MODEL '!F16-B11</f>
        <v>9154626.088</v>
      </c>
    </row>
    <row r="14">
      <c r="A14" s="80" t="s">
        <v>138</v>
      </c>
      <c r="B14" s="82">
        <f>D2-B12</f>
        <v>21297570875</v>
      </c>
    </row>
  </sheetData>
  <mergeCells count="1">
    <mergeCell ref="A1:D1"/>
  </mergeCells>
  <drawing r:id="rId1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19.11"/>
    <col customWidth="1" min="2" max="2" width="15.67"/>
    <col customWidth="1" min="3" max="3" width="15.33"/>
    <col customWidth="1" min="4" max="4" width="15.67"/>
    <col customWidth="1" min="5" max="5" width="16.11"/>
    <col customWidth="1" min="6" max="7" width="16.22"/>
  </cols>
  <sheetData>
    <row r="1">
      <c r="A1" s="83"/>
      <c r="B1" s="84" t="s">
        <v>139</v>
      </c>
      <c r="C1" s="84" t="s">
        <v>140</v>
      </c>
      <c r="D1" s="84" t="s">
        <v>141</v>
      </c>
      <c r="E1" s="84" t="s">
        <v>142</v>
      </c>
      <c r="F1" s="84" t="s">
        <v>143</v>
      </c>
      <c r="G1" s="85" t="s">
        <v>144</v>
      </c>
    </row>
    <row r="2">
      <c r="A2" s="86" t="s">
        <v>8</v>
      </c>
      <c r="B2" s="87" t="s">
        <v>145</v>
      </c>
      <c r="C2" s="87" t="s">
        <v>146</v>
      </c>
      <c r="D2" s="88">
        <v>0.0895</v>
      </c>
      <c r="E2" s="88">
        <v>0.008</v>
      </c>
      <c r="F2" s="87">
        <f t="shared" ref="F2:F6" si="1">average(B2:E2)</f>
        <v>0.04875</v>
      </c>
      <c r="G2" s="89">
        <v>0.0319</v>
      </c>
    </row>
    <row r="3">
      <c r="A3" s="86" t="s">
        <v>147</v>
      </c>
      <c r="B3" s="90">
        <v>0.47</v>
      </c>
      <c r="C3" s="90">
        <v>0.45</v>
      </c>
      <c r="D3" s="88">
        <v>0.98</v>
      </c>
      <c r="E3" s="88">
        <v>0.4</v>
      </c>
      <c r="F3" s="91">
        <f t="shared" si="1"/>
        <v>0.575</v>
      </c>
      <c r="G3" s="92">
        <v>0.621507</v>
      </c>
    </row>
    <row r="4">
      <c r="A4" s="86" t="s">
        <v>10</v>
      </c>
      <c r="B4" s="90">
        <f t="shared" ref="B4:E4" si="2">B13/B11</f>
        <v>0.1007370649</v>
      </c>
      <c r="C4" s="88">
        <f t="shared" si="2"/>
        <v>0.08335055168</v>
      </c>
      <c r="D4" s="87">
        <f t="shared" si="2"/>
        <v>0.1006031996</v>
      </c>
      <c r="E4" s="87">
        <f t="shared" si="2"/>
        <v>0.03025121354</v>
      </c>
      <c r="F4" s="91">
        <f t="shared" si="1"/>
        <v>0.07873550743</v>
      </c>
      <c r="G4" s="89">
        <v>0.050128</v>
      </c>
    </row>
    <row r="5">
      <c r="A5" s="86" t="s">
        <v>111</v>
      </c>
      <c r="B5" s="93">
        <v>6.1612E10</v>
      </c>
      <c r="C5" s="93">
        <v>6.6549E10</v>
      </c>
      <c r="D5" s="93">
        <v>1.483439E10</v>
      </c>
      <c r="E5" s="93">
        <v>5.302063E10</v>
      </c>
      <c r="F5" s="94">
        <f t="shared" si="1"/>
        <v>49004005000</v>
      </c>
      <c r="G5" s="95">
        <f>'BUSINESS PERFORMANCE MODEL '!C15</f>
        <v>97580425800</v>
      </c>
    </row>
    <row r="6">
      <c r="A6" s="86" t="s">
        <v>148</v>
      </c>
      <c r="B6" s="93">
        <v>5.515E9</v>
      </c>
      <c r="C6" s="93">
        <v>1.5421E10</v>
      </c>
      <c r="D6" s="93">
        <v>4.612252E9</v>
      </c>
      <c r="E6" s="93">
        <v>1.027759E10</v>
      </c>
      <c r="F6" s="94">
        <f t="shared" si="1"/>
        <v>8956460500</v>
      </c>
      <c r="G6" s="96">
        <f>'BUSINESS PERFORMANCE MODEL '!C11</f>
        <v>21300474000</v>
      </c>
    </row>
    <row r="7">
      <c r="A7" s="86" t="s">
        <v>149</v>
      </c>
      <c r="B7" s="88">
        <f t="shared" ref="B7:G7" si="3">B6/B11</f>
        <v>0.08049332263</v>
      </c>
      <c r="C7" s="88">
        <f t="shared" si="3"/>
        <v>0.212419246</v>
      </c>
      <c r="D7" s="88">
        <f t="shared" si="3"/>
        <v>0.2796370253</v>
      </c>
      <c r="E7" s="88">
        <f t="shared" si="3"/>
        <v>0.1879774155</v>
      </c>
      <c r="F7" s="88">
        <f t="shared" si="3"/>
        <v>0.1687666746</v>
      </c>
      <c r="G7" s="89">
        <f t="shared" si="3"/>
        <v>0.2073441449</v>
      </c>
    </row>
    <row r="8">
      <c r="A8" s="86" t="s">
        <v>150</v>
      </c>
      <c r="B8" s="97">
        <v>1.007E7</v>
      </c>
      <c r="C8" s="97">
        <v>4900000.0</v>
      </c>
      <c r="D8" s="97">
        <v>1812496.0</v>
      </c>
      <c r="E8" s="97">
        <v>2700000.0</v>
      </c>
      <c r="F8" s="98">
        <f t="shared" ref="F8:F13" si="4">average(B8:E8)</f>
        <v>4870624</v>
      </c>
      <c r="G8" s="96">
        <f>'BUSINESS PERFORMANCE MODEL '!F16</f>
        <v>25301000</v>
      </c>
    </row>
    <row r="9">
      <c r="A9" s="86" t="s">
        <v>15</v>
      </c>
      <c r="B9" s="93">
        <v>5.5086E10</v>
      </c>
      <c r="C9" s="93">
        <v>5.7176E10</v>
      </c>
      <c r="D9" s="93">
        <v>1.188146E10</v>
      </c>
      <c r="E9" s="93">
        <v>4.4397E10</v>
      </c>
      <c r="F9" s="94">
        <f t="shared" si="4"/>
        <v>42135115000</v>
      </c>
      <c r="G9" s="95">
        <f>'BUSINESS PERFORMANCE MODEL '!C10</f>
        <v>81429574200</v>
      </c>
    </row>
    <row r="10">
      <c r="A10" s="86" t="s">
        <v>151</v>
      </c>
      <c r="B10" s="97">
        <v>366283.0</v>
      </c>
      <c r="C10" s="97">
        <v>662575.0</v>
      </c>
      <c r="D10" s="97">
        <v>52437.0</v>
      </c>
      <c r="E10" s="97">
        <v>156000.0</v>
      </c>
      <c r="F10" s="98">
        <f t="shared" si="4"/>
        <v>309323.75</v>
      </c>
      <c r="G10" s="99">
        <v>211374.0</v>
      </c>
    </row>
    <row r="11">
      <c r="A11" s="86" t="s">
        <v>152</v>
      </c>
      <c r="B11" s="93">
        <v>6.8515E10</v>
      </c>
      <c r="C11" s="93">
        <v>7.2597E10</v>
      </c>
      <c r="D11" s="93">
        <v>1.649371E10</v>
      </c>
      <c r="E11" s="93">
        <v>5.46746E10</v>
      </c>
      <c r="F11" s="94">
        <f t="shared" si="4"/>
        <v>53070077500</v>
      </c>
      <c r="G11" s="100">
        <f>'BUSINESS PERFORMANCE MODEL '!C9</f>
        <v>102730048200</v>
      </c>
    </row>
    <row r="12">
      <c r="A12" s="86" t="s">
        <v>153</v>
      </c>
      <c r="B12" s="93">
        <v>5.5984E10</v>
      </c>
      <c r="C12" s="93">
        <v>6.25397E11</v>
      </c>
      <c r="D12" s="93">
        <v>1.667954E10</v>
      </c>
      <c r="E12" s="93">
        <v>1.345658E11</v>
      </c>
      <c r="F12" s="94">
        <f t="shared" si="4"/>
        <v>208156585000</v>
      </c>
      <c r="G12" s="101">
        <f>'BUSINESS PERFORMANCE MODEL '!C5</f>
        <v>170984034000</v>
      </c>
    </row>
    <row r="13">
      <c r="A13" s="86" t="s">
        <v>154</v>
      </c>
      <c r="B13" s="93">
        <v>6.902E9</v>
      </c>
      <c r="C13" s="93">
        <v>6.051E9</v>
      </c>
      <c r="D13" s="93">
        <v>1.65932E9</v>
      </c>
      <c r="E13" s="93">
        <v>1.653973E9</v>
      </c>
      <c r="F13" s="94">
        <f t="shared" si="4"/>
        <v>4066573250</v>
      </c>
      <c r="G13" s="96">
        <f>'BUSINESS PERFORMANCE MODEL '!C13</f>
        <v>5149622400</v>
      </c>
    </row>
    <row r="14">
      <c r="A14" s="86" t="s">
        <v>155</v>
      </c>
      <c r="B14" s="54">
        <f t="shared" ref="B14:G14" si="5">B8/B10</f>
        <v>27.49240341</v>
      </c>
      <c r="C14" s="54">
        <f t="shared" si="5"/>
        <v>7.395389201</v>
      </c>
      <c r="D14" s="54">
        <f t="shared" si="5"/>
        <v>34.56521159</v>
      </c>
      <c r="E14" s="54">
        <f t="shared" si="5"/>
        <v>17.30769231</v>
      </c>
      <c r="F14" s="54">
        <f t="shared" si="5"/>
        <v>15.74603955</v>
      </c>
      <c r="G14" s="102">
        <f t="shared" si="5"/>
        <v>119.6977869</v>
      </c>
    </row>
    <row r="15">
      <c r="A15" s="103" t="s">
        <v>156</v>
      </c>
      <c r="B15" s="54">
        <f t="shared" ref="B15:G15" si="6">(B10/B5)*1000000</f>
        <v>5.944994482</v>
      </c>
      <c r="C15" s="54">
        <f t="shared" si="6"/>
        <v>9.956197689</v>
      </c>
      <c r="D15" s="54">
        <f t="shared" si="6"/>
        <v>3.534826845</v>
      </c>
      <c r="E15" s="54">
        <f t="shared" si="6"/>
        <v>2.942250969</v>
      </c>
      <c r="F15" s="54">
        <f t="shared" si="6"/>
        <v>6.312213665</v>
      </c>
      <c r="G15" s="102">
        <f t="shared" si="6"/>
        <v>2.166151646</v>
      </c>
    </row>
    <row r="16">
      <c r="A16" s="104" t="s">
        <v>157</v>
      </c>
      <c r="B16" s="105">
        <f t="shared" ref="B16:G16" si="7">B13/B11</f>
        <v>0.1007370649</v>
      </c>
      <c r="C16" s="105">
        <f t="shared" si="7"/>
        <v>0.08335055168</v>
      </c>
      <c r="D16" s="105">
        <f t="shared" si="7"/>
        <v>0.1006031996</v>
      </c>
      <c r="E16" s="105">
        <f t="shared" si="7"/>
        <v>0.03025121354</v>
      </c>
      <c r="F16" s="105">
        <f t="shared" si="7"/>
        <v>0.07662648034</v>
      </c>
      <c r="G16" s="106">
        <f t="shared" si="7"/>
        <v>0.05012771327</v>
      </c>
    </row>
    <row r="17">
      <c r="B17" s="107"/>
      <c r="C17" s="107"/>
      <c r="D17" s="107"/>
      <c r="E17" s="107"/>
      <c r="F17" s="107"/>
      <c r="G17" s="107"/>
    </row>
  </sheetData>
  <conditionalFormatting sqref="G4:G5">
    <cfRule type="cellIs" dxfId="4" priority="1" operator="greaterThan">
      <formula>"F5"</formula>
    </cfRule>
  </conditionalFormatting>
  <conditionalFormatting sqref="G6 G8">
    <cfRule type="cellIs" dxfId="4" priority="2" operator="greaterThan">
      <formula>"F7"</formula>
    </cfRule>
  </conditionalFormatting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2022-04-21T13:46:09Z</dcterms:created>
  <dc:creator>Microsoft Office User</dc:creator>
</cp:coreProperties>
</file>