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fkriwan_ethz_ch/Documents/ETH Master/Semesterproject/Data/"/>
    </mc:Choice>
  </mc:AlternateContent>
  <xr:revisionPtr revIDLastSave="17" documentId="6_{30D42133-A8C1-9B4E-83F0-52AC82A1B754}" xr6:coauthVersionLast="47" xr6:coauthVersionMax="47" xr10:uidLastSave="{FFDA3326-EE2A-F546-A795-9C9EAF2D4866}"/>
  <bookViews>
    <workbookView xWindow="0" yWindow="760" windowWidth="30240" windowHeight="17340" activeTab="7" xr2:uid="{D4EA1288-6DFB-A24D-A33D-D860BD669E84}"/>
  </bookViews>
  <sheets>
    <sheet name="Overwiew " sheetId="16" r:id="rId1"/>
    <sheet name="compressor production" sheetId="1" r:id="rId2"/>
    <sheet name="Heat Exchanger" sheetId="10" r:id="rId3"/>
    <sheet name="heat pump production" sheetId="2" r:id="rId4"/>
    <sheet name="conversion" sheetId="15" r:id="rId5"/>
    <sheet name="cost estimate" sheetId="14" r:id="rId6"/>
    <sheet name="Jobs" sheetId="8" r:id="rId7"/>
    <sheet name="Demand" sheetId="6" r:id="rId8"/>
    <sheet name="Material demand scenarion" sheetId="7" r:id="rId9"/>
    <sheet name="Allocation OPEX CAPEX" sheetId="18" r:id="rId10"/>
    <sheet name="refrigerants" sheetId="9" r:id="rId11"/>
    <sheet name="mining" sheetId="3" r:id="rId12"/>
    <sheet name="Tabelle1" sheetId="19" r:id="rId13"/>
    <sheet name="Refinement (material production" sheetId="5" r:id="rId14"/>
    <sheet name="Transportation" sheetId="12" r:id="rId15"/>
    <sheet name="set_nodes" sheetId="13" r:id="rId16"/>
  </sheets>
  <definedNames>
    <definedName name="_xlnm._FilterDatabase" localSheetId="13" hidden="1">'Refinement (material production'!$A$6:$I$29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6" l="1"/>
  <c r="I73" i="6"/>
  <c r="B174" i="2"/>
  <c r="M68" i="6"/>
  <c r="L69" i="6"/>
  <c r="M69" i="6"/>
  <c r="B69" i="6"/>
  <c r="C69" i="6"/>
  <c r="E69" i="6"/>
  <c r="F69" i="6"/>
  <c r="G69" i="6"/>
  <c r="H69" i="6"/>
  <c r="I69" i="6"/>
  <c r="J69" i="6"/>
  <c r="K69" i="6"/>
  <c r="C45" i="10"/>
  <c r="J14" i="3"/>
  <c r="U71" i="3"/>
  <c r="G50" i="18"/>
  <c r="G49" i="18"/>
  <c r="G40" i="18"/>
  <c r="G41" i="18"/>
  <c r="G42" i="18"/>
  <c r="G43" i="18"/>
  <c r="G44" i="18"/>
  <c r="G45" i="18"/>
  <c r="G46" i="18"/>
  <c r="G47" i="18"/>
  <c r="G48" i="18"/>
  <c r="G39" i="18"/>
  <c r="G39" i="15"/>
  <c r="G38" i="15"/>
  <c r="C102" i="1"/>
  <c r="B102" i="1"/>
  <c r="Z64" i="3"/>
  <c r="Z65" i="3"/>
  <c r="Z66" i="3"/>
  <c r="Z67" i="3"/>
  <c r="Z68" i="3"/>
  <c r="Z69" i="3"/>
  <c r="Z70" i="3"/>
  <c r="Z71" i="3"/>
  <c r="Z72" i="3"/>
  <c r="Z73" i="3"/>
  <c r="Z74" i="3"/>
  <c r="Z63" i="3"/>
  <c r="X24" i="3"/>
  <c r="X34" i="3"/>
  <c r="X33" i="3"/>
  <c r="X32" i="3"/>
  <c r="X31" i="3"/>
  <c r="X30" i="3"/>
  <c r="X29" i="3"/>
  <c r="X28" i="3"/>
  <c r="X27" i="3"/>
  <c r="X26" i="3"/>
  <c r="X25" i="3"/>
  <c r="X46" i="3"/>
  <c r="X47" i="3"/>
  <c r="X48" i="3"/>
  <c r="X49" i="3"/>
  <c r="X50" i="3"/>
  <c r="X51" i="3"/>
  <c r="X52" i="3"/>
  <c r="X53" i="3"/>
  <c r="X54" i="3"/>
  <c r="X55" i="3"/>
  <c r="X56" i="3"/>
  <c r="X45" i="3"/>
  <c r="AH35" i="5"/>
  <c r="AH36" i="5"/>
  <c r="AH37" i="5"/>
  <c r="AH38" i="5"/>
  <c r="AH39" i="5"/>
  <c r="AH40" i="5"/>
  <c r="AH41" i="5"/>
  <c r="AH42" i="5"/>
  <c r="AH43" i="5"/>
  <c r="AH44" i="5"/>
  <c r="AH45" i="5"/>
  <c r="AH34" i="5"/>
  <c r="R46" i="5"/>
  <c r="R36" i="5"/>
  <c r="R37" i="5"/>
  <c r="R38" i="5"/>
  <c r="R39" i="5"/>
  <c r="R40" i="5"/>
  <c r="R41" i="5"/>
  <c r="R42" i="5"/>
  <c r="R43" i="5"/>
  <c r="R44" i="5"/>
  <c r="R45" i="5"/>
  <c r="R35" i="5"/>
  <c r="G35" i="5"/>
  <c r="G46" i="5"/>
  <c r="G36" i="5"/>
  <c r="G37" i="5"/>
  <c r="G38" i="5"/>
  <c r="G39" i="5"/>
  <c r="G40" i="5"/>
  <c r="G41" i="5"/>
  <c r="G42" i="5"/>
  <c r="G43" i="5"/>
  <c r="G44" i="5"/>
  <c r="G45" i="5"/>
  <c r="B82" i="18"/>
  <c r="F83" i="18"/>
  <c r="E83" i="18"/>
  <c r="E82" i="18"/>
  <c r="L80" i="6"/>
  <c r="L81" i="6"/>
  <c r="L82" i="6"/>
  <c r="L83" i="6"/>
  <c r="L84" i="6"/>
  <c r="L85" i="6"/>
  <c r="N85" i="6"/>
  <c r="L86" i="6"/>
  <c r="L87" i="6"/>
  <c r="L88" i="6"/>
  <c r="U88" i="6"/>
  <c r="L89" i="6"/>
  <c r="L90" i="6"/>
  <c r="U90" i="6"/>
  <c r="L91" i="6"/>
  <c r="U91" i="6"/>
  <c r="L92" i="6"/>
  <c r="L93" i="6"/>
  <c r="B47" i="18"/>
  <c r="B48" i="18"/>
  <c r="D41" i="18"/>
  <c r="D42" i="18"/>
  <c r="D43" i="18"/>
  <c r="D44" i="18"/>
  <c r="D45" i="18"/>
  <c r="D46" i="18"/>
  <c r="D47" i="18"/>
  <c r="D48" i="18"/>
  <c r="D49" i="18"/>
  <c r="D50" i="18"/>
  <c r="D51" i="18"/>
  <c r="D40" i="18"/>
  <c r="F90" i="6"/>
  <c r="M175" i="2"/>
  <c r="M176" i="2"/>
  <c r="M177" i="2"/>
  <c r="M178" i="2"/>
  <c r="M179" i="2"/>
  <c r="M180" i="2"/>
  <c r="M181" i="2"/>
  <c r="M182" i="2"/>
  <c r="M183" i="2"/>
  <c r="M184" i="2"/>
  <c r="M185" i="2"/>
  <c r="M186" i="2"/>
  <c r="M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74" i="2"/>
  <c r="H186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74" i="2"/>
  <c r="D176" i="2"/>
  <c r="D177" i="2"/>
  <c r="D178" i="2"/>
  <c r="D179" i="2"/>
  <c r="D180" i="2"/>
  <c r="D181" i="2"/>
  <c r="D182" i="2"/>
  <c r="D183" i="2"/>
  <c r="D184" i="2"/>
  <c r="D185" i="2"/>
  <c r="D186" i="2"/>
  <c r="D175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74" i="2"/>
  <c r="D169" i="2"/>
  <c r="D159" i="2"/>
  <c r="D160" i="2"/>
  <c r="D161" i="2"/>
  <c r="D162" i="2"/>
  <c r="D163" i="2"/>
  <c r="D164" i="2"/>
  <c r="D165" i="2"/>
  <c r="D166" i="2"/>
  <c r="D167" i="2"/>
  <c r="D168" i="2"/>
  <c r="D170" i="2"/>
  <c r="C90" i="6"/>
  <c r="B73" i="10"/>
  <c r="E73" i="1"/>
  <c r="M73" i="1"/>
  <c r="D73" i="1"/>
  <c r="F73" i="1"/>
  <c r="G73" i="1"/>
  <c r="H73" i="1"/>
  <c r="I73" i="1"/>
  <c r="J73" i="1"/>
  <c r="K73" i="1"/>
  <c r="L73" i="1"/>
  <c r="D74" i="1"/>
  <c r="E74" i="1"/>
  <c r="F74" i="1"/>
  <c r="G74" i="1"/>
  <c r="H74" i="1"/>
  <c r="I74" i="1"/>
  <c r="J74" i="1"/>
  <c r="K74" i="1"/>
  <c r="L74" i="1"/>
  <c r="M74" i="1"/>
  <c r="D75" i="1"/>
  <c r="E75" i="1"/>
  <c r="F75" i="1"/>
  <c r="G75" i="1"/>
  <c r="H75" i="1"/>
  <c r="I75" i="1"/>
  <c r="J75" i="1"/>
  <c r="K75" i="1"/>
  <c r="L75" i="1"/>
  <c r="M75" i="1"/>
  <c r="D76" i="1"/>
  <c r="E76" i="1"/>
  <c r="F76" i="1"/>
  <c r="G76" i="1"/>
  <c r="H76" i="1"/>
  <c r="I76" i="1"/>
  <c r="J76" i="1"/>
  <c r="K76" i="1"/>
  <c r="L76" i="1"/>
  <c r="M76" i="1"/>
  <c r="D77" i="1"/>
  <c r="E77" i="1"/>
  <c r="F77" i="1"/>
  <c r="G77" i="1"/>
  <c r="H77" i="1"/>
  <c r="I77" i="1"/>
  <c r="J77" i="1"/>
  <c r="K77" i="1"/>
  <c r="L77" i="1"/>
  <c r="M77" i="1"/>
  <c r="D78" i="1"/>
  <c r="E78" i="1"/>
  <c r="F78" i="1"/>
  <c r="G78" i="1"/>
  <c r="H78" i="1"/>
  <c r="I78" i="1"/>
  <c r="J78" i="1"/>
  <c r="K78" i="1"/>
  <c r="L78" i="1"/>
  <c r="M78" i="1"/>
  <c r="D79" i="1"/>
  <c r="E79" i="1"/>
  <c r="F79" i="1"/>
  <c r="G79" i="1"/>
  <c r="H79" i="1"/>
  <c r="I79" i="1"/>
  <c r="J79" i="1"/>
  <c r="K79" i="1"/>
  <c r="L79" i="1"/>
  <c r="M79" i="1"/>
  <c r="D80" i="1"/>
  <c r="E80" i="1"/>
  <c r="F80" i="1"/>
  <c r="G80" i="1"/>
  <c r="H80" i="1"/>
  <c r="I80" i="1"/>
  <c r="J80" i="1"/>
  <c r="K80" i="1"/>
  <c r="L80" i="1"/>
  <c r="M80" i="1"/>
  <c r="D81" i="1"/>
  <c r="E81" i="1"/>
  <c r="F81" i="1"/>
  <c r="G81" i="1"/>
  <c r="H81" i="1"/>
  <c r="I81" i="1"/>
  <c r="J81" i="1"/>
  <c r="K81" i="1"/>
  <c r="L81" i="1"/>
  <c r="M81" i="1"/>
  <c r="D82" i="1"/>
  <c r="E82" i="1"/>
  <c r="F82" i="1"/>
  <c r="G82" i="1"/>
  <c r="H82" i="1"/>
  <c r="I82" i="1"/>
  <c r="J82" i="1"/>
  <c r="K82" i="1"/>
  <c r="L82" i="1"/>
  <c r="M82" i="1"/>
  <c r="D83" i="1"/>
  <c r="E83" i="1"/>
  <c r="F83" i="1"/>
  <c r="G83" i="1"/>
  <c r="H83" i="1"/>
  <c r="I83" i="1"/>
  <c r="J83" i="1"/>
  <c r="K83" i="1"/>
  <c r="L83" i="1"/>
  <c r="M83" i="1"/>
  <c r="D84" i="1"/>
  <c r="E84" i="1"/>
  <c r="F84" i="1"/>
  <c r="G84" i="1"/>
  <c r="H84" i="1"/>
  <c r="I84" i="1"/>
  <c r="J84" i="1"/>
  <c r="K84" i="1"/>
  <c r="L84" i="1"/>
  <c r="M84" i="1"/>
  <c r="D85" i="1"/>
  <c r="E85" i="1"/>
  <c r="F85" i="1"/>
  <c r="G85" i="1"/>
  <c r="H85" i="1"/>
  <c r="I85" i="1"/>
  <c r="J85" i="1"/>
  <c r="K85" i="1"/>
  <c r="L85" i="1"/>
  <c r="M85" i="1"/>
  <c r="C74" i="1"/>
  <c r="C75" i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73" i="1"/>
  <c r="B85" i="1"/>
  <c r="B74" i="1"/>
  <c r="B75" i="1"/>
  <c r="B76" i="1"/>
  <c r="B77" i="1"/>
  <c r="B78" i="1"/>
  <c r="B79" i="1"/>
  <c r="B80" i="1"/>
  <c r="B81" i="1"/>
  <c r="B82" i="1"/>
  <c r="B83" i="1"/>
  <c r="B84" i="1"/>
  <c r="B73" i="1"/>
  <c r="C73" i="10"/>
  <c r="C82" i="10" s="1"/>
  <c r="B74" i="10"/>
  <c r="B80" i="10"/>
  <c r="B81" i="10"/>
  <c r="B82" i="10"/>
  <c r="C76" i="10"/>
  <c r="D73" i="10"/>
  <c r="E73" i="10"/>
  <c r="F73" i="10"/>
  <c r="F80" i="10" s="1"/>
  <c r="G73" i="10"/>
  <c r="G77" i="10" s="1"/>
  <c r="H73" i="10"/>
  <c r="H74" i="10" s="1"/>
  <c r="I73" i="10"/>
  <c r="I79" i="10" s="1"/>
  <c r="J73" i="10"/>
  <c r="J76" i="10" s="1"/>
  <c r="K73" i="10"/>
  <c r="M73" i="10"/>
  <c r="C74" i="10"/>
  <c r="D74" i="10"/>
  <c r="E74" i="10"/>
  <c r="F74" i="10"/>
  <c r="G74" i="10"/>
  <c r="K74" i="10"/>
  <c r="M74" i="10"/>
  <c r="C75" i="10"/>
  <c r="D75" i="10"/>
  <c r="E75" i="10"/>
  <c r="K75" i="10"/>
  <c r="M75" i="10"/>
  <c r="D76" i="10"/>
  <c r="E76" i="10"/>
  <c r="F76" i="10"/>
  <c r="G76" i="10"/>
  <c r="H76" i="10"/>
  <c r="I76" i="10"/>
  <c r="K76" i="10"/>
  <c r="M76" i="10"/>
  <c r="C77" i="10"/>
  <c r="D77" i="10"/>
  <c r="E77" i="10"/>
  <c r="F77" i="10"/>
  <c r="K77" i="10"/>
  <c r="M77" i="10"/>
  <c r="C78" i="10"/>
  <c r="D78" i="10"/>
  <c r="E78" i="10"/>
  <c r="K78" i="10"/>
  <c r="M78" i="10"/>
  <c r="C79" i="10"/>
  <c r="D79" i="10"/>
  <c r="E79" i="10"/>
  <c r="F79" i="10"/>
  <c r="G79" i="10"/>
  <c r="H79" i="10"/>
  <c r="K79" i="10"/>
  <c r="M79" i="10"/>
  <c r="C80" i="10"/>
  <c r="D80" i="10"/>
  <c r="E80" i="10"/>
  <c r="K80" i="10"/>
  <c r="M80" i="10"/>
  <c r="C81" i="10"/>
  <c r="D81" i="10"/>
  <c r="E81" i="10"/>
  <c r="K81" i="10"/>
  <c r="M81" i="10"/>
  <c r="D82" i="10"/>
  <c r="E82" i="10"/>
  <c r="F82" i="10"/>
  <c r="G82" i="10"/>
  <c r="K82" i="10"/>
  <c r="M82" i="10"/>
  <c r="D83" i="10"/>
  <c r="E83" i="10"/>
  <c r="F83" i="10"/>
  <c r="K83" i="10"/>
  <c r="M83" i="10"/>
  <c r="C84" i="10"/>
  <c r="D84" i="10"/>
  <c r="E84" i="10"/>
  <c r="F84" i="10"/>
  <c r="G84" i="10"/>
  <c r="H84" i="10"/>
  <c r="I84" i="10"/>
  <c r="K84" i="10"/>
  <c r="M84" i="10"/>
  <c r="C85" i="10"/>
  <c r="D85" i="10"/>
  <c r="E85" i="10"/>
  <c r="F85" i="10"/>
  <c r="K85" i="10"/>
  <c r="M85" i="10"/>
  <c r="B28" i="7"/>
  <c r="C30" i="7"/>
  <c r="D30" i="7" s="1"/>
  <c r="B29" i="7"/>
  <c r="B23" i="14"/>
  <c r="B24" i="14"/>
  <c r="B22" i="14"/>
  <c r="B55" i="6"/>
  <c r="C38" i="10"/>
  <c r="B55" i="1"/>
  <c r="Y64" i="3"/>
  <c r="Y65" i="3"/>
  <c r="Y66" i="3"/>
  <c r="Y67" i="3"/>
  <c r="Y68" i="3"/>
  <c r="Y69" i="3"/>
  <c r="Y70" i="3"/>
  <c r="Y71" i="3"/>
  <c r="Y72" i="3"/>
  <c r="Y73" i="3"/>
  <c r="Y74" i="3"/>
  <c r="Y63" i="3"/>
  <c r="X72" i="3"/>
  <c r="X71" i="3"/>
  <c r="X70" i="3"/>
  <c r="X69" i="3"/>
  <c r="X68" i="3"/>
  <c r="X67" i="3"/>
  <c r="X64" i="3"/>
  <c r="U70" i="3"/>
  <c r="R84" i="3"/>
  <c r="W56" i="3"/>
  <c r="W55" i="3"/>
  <c r="W46" i="3"/>
  <c r="W47" i="3"/>
  <c r="W48" i="3"/>
  <c r="W49" i="3"/>
  <c r="W50" i="3"/>
  <c r="W51" i="3"/>
  <c r="W52" i="3"/>
  <c r="W53" i="3"/>
  <c r="W54" i="3"/>
  <c r="W45" i="3"/>
  <c r="V54" i="3"/>
  <c r="V53" i="3"/>
  <c r="V52" i="3"/>
  <c r="V51" i="3"/>
  <c r="V50" i="3"/>
  <c r="V49" i="3"/>
  <c r="V46" i="3"/>
  <c r="K59" i="3"/>
  <c r="O36" i="5"/>
  <c r="O37" i="5"/>
  <c r="O38" i="5"/>
  <c r="O39" i="5"/>
  <c r="O40" i="5"/>
  <c r="O41" i="5"/>
  <c r="O42" i="5"/>
  <c r="O43" i="5"/>
  <c r="O44" i="5"/>
  <c r="O45" i="5"/>
  <c r="O46" i="5"/>
  <c r="P39" i="5"/>
  <c r="N41" i="5"/>
  <c r="N40" i="5"/>
  <c r="N44" i="5"/>
  <c r="B54" i="18"/>
  <c r="F30" i="18"/>
  <c r="F31" i="18"/>
  <c r="F32" i="18"/>
  <c r="F33" i="18"/>
  <c r="F34" i="18"/>
  <c r="F35" i="18"/>
  <c r="F36" i="18"/>
  <c r="F37" i="18"/>
  <c r="F29" i="18"/>
  <c r="B49" i="18"/>
  <c r="D54" i="18"/>
  <c r="E54" i="18" s="1"/>
  <c r="C54" i="18"/>
  <c r="B50" i="18"/>
  <c r="B40" i="18" s="1"/>
  <c r="D15" i="18"/>
  <c r="M37" i="18"/>
  <c r="L23" i="18"/>
  <c r="L22" i="18"/>
  <c r="C44" i="5"/>
  <c r="D72" i="5"/>
  <c r="N38" i="5" s="1"/>
  <c r="D71" i="5"/>
  <c r="N39" i="5" s="1"/>
  <c r="W26" i="3"/>
  <c r="W34" i="3"/>
  <c r="V33" i="3"/>
  <c r="V25" i="3" s="1"/>
  <c r="J37" i="3"/>
  <c r="W27" i="3" s="1"/>
  <c r="M62" i="1"/>
  <c r="K64" i="1"/>
  <c r="F61" i="1"/>
  <c r="E57" i="1"/>
  <c r="E58" i="1"/>
  <c r="B30" i="1"/>
  <c r="D30" i="1" s="1"/>
  <c r="D54" i="1" s="1"/>
  <c r="B31" i="1"/>
  <c r="D31" i="1" s="1"/>
  <c r="B36" i="1"/>
  <c r="F71" i="18"/>
  <c r="F79" i="18"/>
  <c r="E71" i="18"/>
  <c r="E79" i="18"/>
  <c r="P12" i="18"/>
  <c r="P11" i="18"/>
  <c r="B59" i="18" s="1"/>
  <c r="N33" i="2"/>
  <c r="B113" i="2" s="1"/>
  <c r="N32" i="2"/>
  <c r="B109" i="2" s="1"/>
  <c r="N31" i="2"/>
  <c r="B112" i="2" s="1"/>
  <c r="L51" i="18"/>
  <c r="L50" i="18"/>
  <c r="L49" i="18"/>
  <c r="L48" i="18"/>
  <c r="B55" i="18"/>
  <c r="B56" i="18"/>
  <c r="B60" i="18"/>
  <c r="B61" i="18"/>
  <c r="B62" i="18"/>
  <c r="B63" i="18"/>
  <c r="B64" i="18"/>
  <c r="B65" i="18"/>
  <c r="P19" i="18"/>
  <c r="B45" i="18"/>
  <c r="B42" i="18"/>
  <c r="B51" i="18"/>
  <c r="B43" i="18"/>
  <c r="B25" i="18"/>
  <c r="B26" i="18"/>
  <c r="B24" i="18"/>
  <c r="C24" i="18" s="1"/>
  <c r="D24" i="18" s="1"/>
  <c r="B17" i="18"/>
  <c r="C17" i="18" s="1"/>
  <c r="D17" i="18" s="1"/>
  <c r="B23" i="18"/>
  <c r="C23" i="18" s="1"/>
  <c r="D23" i="18" s="1"/>
  <c r="B20" i="18"/>
  <c r="B21" i="18"/>
  <c r="B19" i="18"/>
  <c r="C19" i="18" s="1"/>
  <c r="D19" i="18" s="1"/>
  <c r="B18" i="18"/>
  <c r="B16" i="18"/>
  <c r="C16" i="18" s="1"/>
  <c r="D16" i="18" s="1"/>
  <c r="B15" i="18"/>
  <c r="C15" i="18" s="1"/>
  <c r="C18" i="18"/>
  <c r="D18" i="18" s="1"/>
  <c r="C20" i="18"/>
  <c r="D20" i="18" s="1"/>
  <c r="C21" i="18"/>
  <c r="D21" i="18" s="1"/>
  <c r="C22" i="18"/>
  <c r="D22" i="18" s="1"/>
  <c r="P9" i="18"/>
  <c r="P8" i="18"/>
  <c r="D31" i="15"/>
  <c r="M16" i="18"/>
  <c r="M11" i="18"/>
  <c r="M14" i="18"/>
  <c r="M15" i="18"/>
  <c r="K34" i="18"/>
  <c r="K35" i="18" s="1"/>
  <c r="K13" i="18"/>
  <c r="K20" i="18" s="1"/>
  <c r="L20" i="18" s="1"/>
  <c r="B22" i="18"/>
  <c r="B38" i="14"/>
  <c r="B46" i="14" s="1"/>
  <c r="C35" i="14" s="1"/>
  <c r="B58" i="14"/>
  <c r="B60" i="14"/>
  <c r="C53" i="14" s="1"/>
  <c r="C46" i="5"/>
  <c r="C36" i="5"/>
  <c r="C40" i="5"/>
  <c r="C41" i="5"/>
  <c r="C39" i="5"/>
  <c r="C38" i="5"/>
  <c r="C35" i="5"/>
  <c r="C43" i="5" s="1"/>
  <c r="G125" i="2"/>
  <c r="D153" i="2" s="1"/>
  <c r="D149" i="2" s="1"/>
  <c r="B43" i="2"/>
  <c r="H43" i="2" s="1"/>
  <c r="D95" i="2"/>
  <c r="D105" i="2" s="1"/>
  <c r="E55" i="6"/>
  <c r="H26" i="6"/>
  <c r="H25" i="6"/>
  <c r="D129" i="2"/>
  <c r="D124" i="2" s="1"/>
  <c r="G126" i="2" s="1"/>
  <c r="H126" i="2" s="1"/>
  <c r="C126" i="2"/>
  <c r="G64" i="2"/>
  <c r="D110" i="2"/>
  <c r="D56" i="2"/>
  <c r="B81" i="2"/>
  <c r="D81" i="2" s="1"/>
  <c r="K94" i="2" s="1"/>
  <c r="L94" i="2" s="1"/>
  <c r="B82" i="2"/>
  <c r="D82" i="2" s="1"/>
  <c r="K95" i="2" s="1"/>
  <c r="L95" i="2" s="1"/>
  <c r="B83" i="2"/>
  <c r="B80" i="2"/>
  <c r="D80" i="2" s="1"/>
  <c r="K93" i="2" s="1"/>
  <c r="L93" i="2" s="1"/>
  <c r="X36" i="5"/>
  <c r="X42" i="5"/>
  <c r="X43" i="5"/>
  <c r="B60" i="1"/>
  <c r="B56" i="1"/>
  <c r="B57" i="1"/>
  <c r="B58" i="1"/>
  <c r="B59" i="1"/>
  <c r="B61" i="1"/>
  <c r="B62" i="1"/>
  <c r="B63" i="1"/>
  <c r="B64" i="1"/>
  <c r="B65" i="1"/>
  <c r="B39" i="1"/>
  <c r="D39" i="1" s="1"/>
  <c r="B44" i="1"/>
  <c r="I87" i="2"/>
  <c r="I97" i="2" s="1"/>
  <c r="J97" i="2" s="1"/>
  <c r="G74" i="2"/>
  <c r="K97" i="2"/>
  <c r="D74" i="2"/>
  <c r="K87" i="2" s="1"/>
  <c r="L87" i="2" s="1"/>
  <c r="D75" i="2"/>
  <c r="K88" i="2" s="1"/>
  <c r="L88" i="2" s="1"/>
  <c r="D76" i="2"/>
  <c r="K89" i="2" s="1"/>
  <c r="L89" i="2" s="1"/>
  <c r="D77" i="2"/>
  <c r="K90" i="2" s="1"/>
  <c r="L90" i="2" s="1"/>
  <c r="D78" i="2"/>
  <c r="K91" i="2" s="1"/>
  <c r="L91" i="2" s="1"/>
  <c r="D79" i="2"/>
  <c r="K92" i="2" s="1"/>
  <c r="L92" i="2" s="1"/>
  <c r="D83" i="2"/>
  <c r="K96" i="2" s="1"/>
  <c r="L96" i="2" s="1"/>
  <c r="D73" i="2"/>
  <c r="B70" i="2"/>
  <c r="B36" i="9"/>
  <c r="E24" i="9"/>
  <c r="E11" i="9"/>
  <c r="B23" i="9"/>
  <c r="B14" i="9"/>
  <c r="B37" i="9"/>
  <c r="E10" i="9"/>
  <c r="B29" i="9" s="1"/>
  <c r="B8" i="9"/>
  <c r="D39" i="15"/>
  <c r="B39" i="15"/>
  <c r="B45" i="12"/>
  <c r="B44" i="12"/>
  <c r="X35" i="5"/>
  <c r="X44" i="5" s="1"/>
  <c r="X39" i="5"/>
  <c r="X40" i="5"/>
  <c r="X38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49" i="5"/>
  <c r="Z50" i="5"/>
  <c r="Z51" i="5"/>
  <c r="Z52" i="5"/>
  <c r="Z53" i="5"/>
  <c r="Z54" i="5"/>
  <c r="Z55" i="5"/>
  <c r="Z56" i="5"/>
  <c r="Z57" i="5"/>
  <c r="Z58" i="5"/>
  <c r="Z59" i="5"/>
  <c r="Z60" i="5"/>
  <c r="Z61" i="5"/>
  <c r="Z49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AE39" i="5"/>
  <c r="AC52" i="5" s="1"/>
  <c r="AE40" i="5"/>
  <c r="AD57" i="5" s="1"/>
  <c r="AE38" i="5"/>
  <c r="AB55" i="5" s="1"/>
  <c r="AE35" i="5"/>
  <c r="Y56" i="5" s="1"/>
  <c r="X45" i="5"/>
  <c r="X41" i="5"/>
  <c r="X37" i="5"/>
  <c r="AB45" i="5"/>
  <c r="AB42" i="5"/>
  <c r="AB41" i="5"/>
  <c r="AB40" i="5"/>
  <c r="AB39" i="5"/>
  <c r="AB38" i="5"/>
  <c r="AB37" i="5"/>
  <c r="AB36" i="5"/>
  <c r="AB35" i="5"/>
  <c r="X4" i="5"/>
  <c r="K76" i="3"/>
  <c r="L66" i="3"/>
  <c r="L64" i="3"/>
  <c r="L65" i="3"/>
  <c r="L74" i="3"/>
  <c r="L63" i="3"/>
  <c r="F84" i="3"/>
  <c r="L72" i="3" s="1"/>
  <c r="L71" i="3"/>
  <c r="L70" i="3"/>
  <c r="L69" i="3"/>
  <c r="L68" i="3"/>
  <c r="L67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63" i="3"/>
  <c r="C63" i="12"/>
  <c r="C64" i="12"/>
  <c r="C65" i="12"/>
  <c r="C66" i="12"/>
  <c r="C67" i="12"/>
  <c r="C68" i="12"/>
  <c r="C69" i="12"/>
  <c r="C70" i="12"/>
  <c r="C71" i="12"/>
  <c r="C72" i="12"/>
  <c r="C73" i="12"/>
  <c r="C62" i="12"/>
  <c r="C56" i="1"/>
  <c r="C57" i="1"/>
  <c r="C58" i="1"/>
  <c r="C59" i="1"/>
  <c r="C60" i="1"/>
  <c r="C61" i="1"/>
  <c r="C62" i="1"/>
  <c r="C63" i="1"/>
  <c r="C64" i="1"/>
  <c r="C65" i="1"/>
  <c r="C66" i="1"/>
  <c r="C67" i="1"/>
  <c r="C55" i="1"/>
  <c r="K55" i="1"/>
  <c r="D48" i="1"/>
  <c r="M56" i="1"/>
  <c r="M57" i="1"/>
  <c r="M58" i="1"/>
  <c r="M59" i="1"/>
  <c r="M60" i="1"/>
  <c r="M61" i="1"/>
  <c r="M63" i="1"/>
  <c r="M64" i="1"/>
  <c r="M65" i="1"/>
  <c r="M66" i="1"/>
  <c r="M67" i="1"/>
  <c r="M55" i="1"/>
  <c r="K56" i="1"/>
  <c r="K57" i="1"/>
  <c r="K58" i="1"/>
  <c r="K59" i="1"/>
  <c r="K60" i="1"/>
  <c r="K61" i="1"/>
  <c r="K62" i="1"/>
  <c r="K63" i="1"/>
  <c r="K65" i="1"/>
  <c r="K66" i="1"/>
  <c r="K67" i="1"/>
  <c r="H56" i="1"/>
  <c r="H57" i="1"/>
  <c r="H58" i="1"/>
  <c r="H59" i="1"/>
  <c r="H60" i="1"/>
  <c r="H61" i="1"/>
  <c r="H62" i="1"/>
  <c r="H63" i="1"/>
  <c r="H64" i="1"/>
  <c r="H65" i="1"/>
  <c r="H66" i="1"/>
  <c r="H67" i="1"/>
  <c r="H55" i="1"/>
  <c r="G56" i="1"/>
  <c r="G57" i="1"/>
  <c r="G58" i="1"/>
  <c r="G59" i="1"/>
  <c r="G60" i="1"/>
  <c r="G61" i="1"/>
  <c r="G62" i="1"/>
  <c r="G63" i="1"/>
  <c r="G64" i="1"/>
  <c r="G65" i="1"/>
  <c r="G66" i="1"/>
  <c r="G67" i="1"/>
  <c r="G55" i="1"/>
  <c r="F56" i="1"/>
  <c r="F57" i="1"/>
  <c r="F58" i="1"/>
  <c r="F59" i="1"/>
  <c r="F60" i="1"/>
  <c r="F62" i="1"/>
  <c r="F63" i="1"/>
  <c r="F64" i="1"/>
  <c r="F65" i="1"/>
  <c r="F66" i="1"/>
  <c r="F67" i="1"/>
  <c r="F55" i="1"/>
  <c r="E56" i="1"/>
  <c r="E59" i="1"/>
  <c r="E60" i="1"/>
  <c r="E61" i="1"/>
  <c r="E62" i="1"/>
  <c r="E63" i="1"/>
  <c r="E64" i="1"/>
  <c r="E65" i="1"/>
  <c r="E66" i="1"/>
  <c r="E67" i="1"/>
  <c r="E55" i="1"/>
  <c r="B66" i="1"/>
  <c r="B67" i="1"/>
  <c r="C25" i="1"/>
  <c r="B45" i="1"/>
  <c r="B48" i="1" s="1"/>
  <c r="C23" i="1"/>
  <c r="C22" i="1"/>
  <c r="B28" i="1"/>
  <c r="C21" i="1"/>
  <c r="B32" i="1"/>
  <c r="D106" i="2"/>
  <c r="D98" i="2"/>
  <c r="H31" i="2"/>
  <c r="C4" i="1"/>
  <c r="B35" i="1"/>
  <c r="D35" i="1" s="1"/>
  <c r="I54" i="1" s="1"/>
  <c r="C11" i="1"/>
  <c r="B34" i="1"/>
  <c r="B33" i="1"/>
  <c r="D38" i="15"/>
  <c r="D32" i="15"/>
  <c r="D33" i="15"/>
  <c r="D34" i="15"/>
  <c r="D35" i="15"/>
  <c r="D36" i="15"/>
  <c r="D37" i="15"/>
  <c r="B38" i="15"/>
  <c r="B37" i="15"/>
  <c r="B36" i="15"/>
  <c r="B35" i="15"/>
  <c r="I22" i="15"/>
  <c r="H22" i="15"/>
  <c r="I21" i="15"/>
  <c r="H21" i="15"/>
  <c r="L17" i="1"/>
  <c r="E25" i="12"/>
  <c r="E26" i="12"/>
  <c r="E27" i="12"/>
  <c r="E28" i="12"/>
  <c r="E29" i="12"/>
  <c r="E30" i="12"/>
  <c r="E31" i="12"/>
  <c r="E32" i="12"/>
  <c r="E33" i="12"/>
  <c r="E24" i="12"/>
  <c r="E14" i="12"/>
  <c r="E15" i="12"/>
  <c r="E16" i="12"/>
  <c r="E17" i="12"/>
  <c r="E18" i="12"/>
  <c r="E19" i="12"/>
  <c r="E20" i="12"/>
  <c r="E21" i="12"/>
  <c r="E22" i="12"/>
  <c r="E13" i="12"/>
  <c r="J34" i="3"/>
  <c r="K34" i="3"/>
  <c r="D42" i="3"/>
  <c r="L54" i="3"/>
  <c r="L55" i="3" s="1"/>
  <c r="O4" i="5"/>
  <c r="K58" i="3"/>
  <c r="L49" i="12"/>
  <c r="L50" i="12"/>
  <c r="L51" i="12"/>
  <c r="L52" i="12"/>
  <c r="L53" i="12"/>
  <c r="L54" i="12"/>
  <c r="L55" i="12"/>
  <c r="L56" i="12"/>
  <c r="L57" i="12"/>
  <c r="L58" i="12"/>
  <c r="L59" i="12"/>
  <c r="L60" i="12"/>
  <c r="K55" i="3"/>
  <c r="B34" i="15"/>
  <c r="B32" i="15"/>
  <c r="B90" i="2"/>
  <c r="D57" i="2"/>
  <c r="D58" i="2"/>
  <c r="D115" i="2" s="1"/>
  <c r="D59" i="2"/>
  <c r="D60" i="2"/>
  <c r="D61" i="2"/>
  <c r="D62" i="2"/>
  <c r="D114" i="2" s="1"/>
  <c r="D63" i="2"/>
  <c r="D64" i="2"/>
  <c r="D113" i="2" s="1"/>
  <c r="G57" i="2"/>
  <c r="G58" i="2"/>
  <c r="G59" i="2"/>
  <c r="G60" i="2"/>
  <c r="G61" i="2"/>
  <c r="G62" i="2"/>
  <c r="G63" i="2"/>
  <c r="G56" i="2"/>
  <c r="P73" i="3"/>
  <c r="B33" i="15"/>
  <c r="O71" i="6"/>
  <c r="G55" i="6"/>
  <c r="G57" i="6" s="1"/>
  <c r="O82" i="6" s="1"/>
  <c r="M55" i="6"/>
  <c r="M63" i="6" s="1"/>
  <c r="H11" i="6"/>
  <c r="M57" i="6"/>
  <c r="U82" i="6" s="1"/>
  <c r="M58" i="6"/>
  <c r="U83" i="6" s="1"/>
  <c r="M59" i="6"/>
  <c r="U84" i="6" s="1"/>
  <c r="M60" i="6"/>
  <c r="U85" i="6" s="1"/>
  <c r="M62" i="6"/>
  <c r="U87" i="6" s="1"/>
  <c r="M65" i="6"/>
  <c r="M66" i="6"/>
  <c r="M67" i="6"/>
  <c r="U92" i="6" s="1"/>
  <c r="U93" i="6"/>
  <c r="M56" i="6"/>
  <c r="U81" i="6" s="1"/>
  <c r="I55" i="6"/>
  <c r="Q80" i="6" s="1"/>
  <c r="H55" i="6"/>
  <c r="H63" i="6" s="1"/>
  <c r="P88" i="6" s="1"/>
  <c r="B63" i="6"/>
  <c r="J88" i="6" s="1"/>
  <c r="F55" i="6"/>
  <c r="F60" i="6" s="1"/>
  <c r="B57" i="6"/>
  <c r="J82" i="6" s="1"/>
  <c r="B58" i="6"/>
  <c r="J83" i="6" s="1"/>
  <c r="B59" i="6"/>
  <c r="J84" i="6" s="1"/>
  <c r="B60" i="6"/>
  <c r="J85" i="6" s="1"/>
  <c r="B61" i="6"/>
  <c r="J86" i="6" s="1"/>
  <c r="B64" i="6"/>
  <c r="J89" i="6" s="1"/>
  <c r="B66" i="6"/>
  <c r="J91" i="6" s="1"/>
  <c r="B67" i="6"/>
  <c r="J92" i="6" s="1"/>
  <c r="B68" i="6"/>
  <c r="G123" i="2" s="1"/>
  <c r="B56" i="6"/>
  <c r="J81" i="6" s="1"/>
  <c r="C55" i="6"/>
  <c r="C57" i="6" s="1"/>
  <c r="K82" i="6" s="1"/>
  <c r="I49" i="12"/>
  <c r="J49" i="12"/>
  <c r="K49" i="12"/>
  <c r="I50" i="12"/>
  <c r="J50" i="12"/>
  <c r="K50" i="12"/>
  <c r="I51" i="12"/>
  <c r="J51" i="12"/>
  <c r="K51" i="12"/>
  <c r="I52" i="12"/>
  <c r="J52" i="12"/>
  <c r="K52" i="12"/>
  <c r="I53" i="12"/>
  <c r="J53" i="12"/>
  <c r="K53" i="12"/>
  <c r="I54" i="12"/>
  <c r="J54" i="12"/>
  <c r="K54" i="12"/>
  <c r="I55" i="12"/>
  <c r="J55" i="12"/>
  <c r="K55" i="12"/>
  <c r="I56" i="12"/>
  <c r="J56" i="12"/>
  <c r="K56" i="12"/>
  <c r="I57" i="12"/>
  <c r="J57" i="12"/>
  <c r="K57" i="12"/>
  <c r="I58" i="12"/>
  <c r="J58" i="12"/>
  <c r="K58" i="12"/>
  <c r="I59" i="12"/>
  <c r="J59" i="12"/>
  <c r="K59" i="12"/>
  <c r="I60" i="12"/>
  <c r="J60" i="12"/>
  <c r="K60" i="12"/>
  <c r="H50" i="12"/>
  <c r="H51" i="12"/>
  <c r="H52" i="12"/>
  <c r="H53" i="12"/>
  <c r="H54" i="12"/>
  <c r="H55" i="12"/>
  <c r="H56" i="12"/>
  <c r="H57" i="12"/>
  <c r="H58" i="12"/>
  <c r="H59" i="12"/>
  <c r="H60" i="12"/>
  <c r="H49" i="12"/>
  <c r="D68" i="5"/>
  <c r="B68" i="5"/>
  <c r="M44" i="6"/>
  <c r="M47" i="6"/>
  <c r="M39" i="6"/>
  <c r="I40" i="6"/>
  <c r="I41" i="6"/>
  <c r="I42" i="6"/>
  <c r="I43" i="6"/>
  <c r="I44" i="6"/>
  <c r="I45" i="6"/>
  <c r="I46" i="6"/>
  <c r="I47" i="6"/>
  <c r="I48" i="6"/>
  <c r="I49" i="6"/>
  <c r="I50" i="6"/>
  <c r="I51" i="6"/>
  <c r="I39" i="6"/>
  <c r="E40" i="6"/>
  <c r="E41" i="6"/>
  <c r="E42" i="6"/>
  <c r="E43" i="6"/>
  <c r="E44" i="6"/>
  <c r="E45" i="6"/>
  <c r="E46" i="6"/>
  <c r="E47" i="6"/>
  <c r="E48" i="6"/>
  <c r="E49" i="6"/>
  <c r="E50" i="6"/>
  <c r="E51" i="6"/>
  <c r="E39" i="6"/>
  <c r="B40" i="6"/>
  <c r="B48" i="6"/>
  <c r="H51" i="6"/>
  <c r="H40" i="6"/>
  <c r="H41" i="6"/>
  <c r="H42" i="6"/>
  <c r="H43" i="6"/>
  <c r="H44" i="6"/>
  <c r="H45" i="6"/>
  <c r="H46" i="6"/>
  <c r="H47" i="6"/>
  <c r="H48" i="6"/>
  <c r="H49" i="6"/>
  <c r="H50" i="6"/>
  <c r="H39" i="6"/>
  <c r="G51" i="6"/>
  <c r="G40" i="6"/>
  <c r="G41" i="6"/>
  <c r="G42" i="6"/>
  <c r="G43" i="6"/>
  <c r="G44" i="6"/>
  <c r="G45" i="6"/>
  <c r="G46" i="6"/>
  <c r="G47" i="6"/>
  <c r="G48" i="6"/>
  <c r="G49" i="6"/>
  <c r="G50" i="6"/>
  <c r="G39" i="6"/>
  <c r="F40" i="6"/>
  <c r="F41" i="6"/>
  <c r="F42" i="6"/>
  <c r="F43" i="6"/>
  <c r="F44" i="6"/>
  <c r="F45" i="6"/>
  <c r="F46" i="6"/>
  <c r="F47" i="6"/>
  <c r="F48" i="6"/>
  <c r="F49" i="6"/>
  <c r="F50" i="6"/>
  <c r="F51" i="6"/>
  <c r="F39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H32" i="2"/>
  <c r="H39" i="2"/>
  <c r="B38" i="2"/>
  <c r="H33" i="2"/>
  <c r="H34" i="2"/>
  <c r="H37" i="2"/>
  <c r="B42" i="2"/>
  <c r="H42" i="2" s="1"/>
  <c r="B41" i="2"/>
  <c r="H41" i="2" s="1"/>
  <c r="B40" i="2"/>
  <c r="H40" i="2" s="1"/>
  <c r="K39" i="2"/>
  <c r="H15" i="6"/>
  <c r="H14" i="6"/>
  <c r="B38" i="6"/>
  <c r="B44" i="6" s="1"/>
  <c r="M38" i="6"/>
  <c r="M43" i="6" s="1"/>
  <c r="G78" i="5"/>
  <c r="A52" i="10"/>
  <c r="C37" i="10"/>
  <c r="C42" i="10"/>
  <c r="C46" i="10"/>
  <c r="C44" i="10"/>
  <c r="C43" i="10"/>
  <c r="B6" i="10"/>
  <c r="B5" i="14"/>
  <c r="B7" i="14" s="1"/>
  <c r="B14" i="10"/>
  <c r="B15" i="10" s="1"/>
  <c r="B32" i="10" s="1"/>
  <c r="B3" i="10"/>
  <c r="B2" i="10"/>
  <c r="B31" i="10" s="1"/>
  <c r="B19" i="10"/>
  <c r="E76" i="5"/>
  <c r="E77" i="5"/>
  <c r="E78" i="5"/>
  <c r="E75" i="5"/>
  <c r="B44" i="5"/>
  <c r="B45" i="5" s="1"/>
  <c r="K32" i="2"/>
  <c r="K33" i="2"/>
  <c r="K34" i="2"/>
  <c r="K37" i="2"/>
  <c r="K31" i="2"/>
  <c r="L54" i="5"/>
  <c r="L52" i="5"/>
  <c r="L51" i="5"/>
  <c r="S4" i="3"/>
  <c r="S3" i="3"/>
  <c r="J13" i="3"/>
  <c r="AA27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8" i="5"/>
  <c r="AA29" i="5"/>
  <c r="AA8" i="5"/>
  <c r="K13" i="3"/>
  <c r="K14" i="3" s="1"/>
  <c r="H9" i="6"/>
  <c r="N10" i="6"/>
  <c r="Q10" i="6"/>
  <c r="Q6" i="6"/>
  <c r="B11" i="10"/>
  <c r="B10" i="10"/>
  <c r="B9" i="10"/>
  <c r="B8" i="10"/>
  <c r="B7" i="10"/>
  <c r="B13" i="9"/>
  <c r="O23" i="9"/>
  <c r="S23" i="9"/>
  <c r="R23" i="9"/>
  <c r="Q23" i="9"/>
  <c r="P23" i="9"/>
  <c r="C10" i="9"/>
  <c r="H10" i="6"/>
  <c r="H5" i="6"/>
  <c r="H4" i="6"/>
  <c r="C20" i="1"/>
  <c r="C19" i="1"/>
  <c r="C18" i="1"/>
  <c r="C17" i="1"/>
  <c r="F15" i="1" s="1"/>
  <c r="C16" i="1"/>
  <c r="C15" i="1"/>
  <c r="K18" i="1"/>
  <c r="K17" i="1"/>
  <c r="L18" i="1"/>
  <c r="C10" i="1"/>
  <c r="C9" i="1"/>
  <c r="C8" i="1"/>
  <c r="C5" i="1"/>
  <c r="C2" i="1"/>
  <c r="C3" i="1"/>
  <c r="C6" i="1"/>
  <c r="K80" i="6" l="1"/>
  <c r="B45" i="6"/>
  <c r="B51" i="6"/>
  <c r="B43" i="6"/>
  <c r="M50" i="6"/>
  <c r="M42" i="6"/>
  <c r="B50" i="6"/>
  <c r="B42" i="6"/>
  <c r="M49" i="6"/>
  <c r="M41" i="6"/>
  <c r="B49" i="6"/>
  <c r="B41" i="6"/>
  <c r="M48" i="6"/>
  <c r="M40" i="6"/>
  <c r="B65" i="6"/>
  <c r="J90" i="6" s="1"/>
  <c r="J80" i="6"/>
  <c r="B47" i="6"/>
  <c r="M46" i="6"/>
  <c r="B62" i="6"/>
  <c r="J87" i="6" s="1"/>
  <c r="M61" i="6"/>
  <c r="U86" i="6" s="1"/>
  <c r="E62" i="6"/>
  <c r="M87" i="6" s="1"/>
  <c r="P80" i="6"/>
  <c r="B46" i="6"/>
  <c r="M45" i="6"/>
  <c r="I61" i="6"/>
  <c r="Q86" i="6" s="1"/>
  <c r="H45" i="2"/>
  <c r="J72" i="6"/>
  <c r="O80" i="6"/>
  <c r="N80" i="6"/>
  <c r="B39" i="6"/>
  <c r="M51" i="6"/>
  <c r="J93" i="6"/>
  <c r="U80" i="6"/>
  <c r="M80" i="6"/>
  <c r="B117" i="2"/>
  <c r="B119" i="2"/>
  <c r="B120" i="2"/>
  <c r="B118" i="2"/>
  <c r="H38" i="2"/>
  <c r="C83" i="10"/>
  <c r="B79" i="10"/>
  <c r="B78" i="10"/>
  <c r="J81" i="10"/>
  <c r="G81" i="10"/>
  <c r="F81" i="10"/>
  <c r="B77" i="10"/>
  <c r="I81" i="10"/>
  <c r="B76" i="10"/>
  <c r="H81" i="10"/>
  <c r="B83" i="10"/>
  <c r="B75" i="10"/>
  <c r="J78" i="10"/>
  <c r="J80" i="10"/>
  <c r="J85" i="10"/>
  <c r="H83" i="10"/>
  <c r="I80" i="10"/>
  <c r="G78" i="10"/>
  <c r="J77" i="10"/>
  <c r="H75" i="10"/>
  <c r="I78" i="10"/>
  <c r="I83" i="10"/>
  <c r="I85" i="10"/>
  <c r="G83" i="10"/>
  <c r="J82" i="10"/>
  <c r="H80" i="10"/>
  <c r="F78" i="10"/>
  <c r="I77" i="10"/>
  <c r="G75" i="10"/>
  <c r="J74" i="10"/>
  <c r="H85" i="10"/>
  <c r="I82" i="10"/>
  <c r="G80" i="10"/>
  <c r="J79" i="10"/>
  <c r="H77" i="10"/>
  <c r="F75" i="10"/>
  <c r="I74" i="10"/>
  <c r="J83" i="10"/>
  <c r="J75" i="10"/>
  <c r="H78" i="10"/>
  <c r="I75" i="10"/>
  <c r="G85" i="10"/>
  <c r="J84" i="10"/>
  <c r="H82" i="10"/>
  <c r="D63" i="1"/>
  <c r="I64" i="1"/>
  <c r="B51" i="1"/>
  <c r="B38" i="1" s="1"/>
  <c r="E148" i="2"/>
  <c r="E165" i="2" s="1"/>
  <c r="E144" i="2"/>
  <c r="E161" i="2" s="1"/>
  <c r="E149" i="2"/>
  <c r="E166" i="2" s="1"/>
  <c r="E143" i="2"/>
  <c r="E160" i="2" s="1"/>
  <c r="E142" i="2"/>
  <c r="E159" i="2" s="1"/>
  <c r="E150" i="2"/>
  <c r="E167" i="2" s="1"/>
  <c r="E151" i="2"/>
  <c r="E168" i="2" s="1"/>
  <c r="E152" i="2"/>
  <c r="E169" i="2" s="1"/>
  <c r="E145" i="2"/>
  <c r="E162" i="2" s="1"/>
  <c r="E153" i="2"/>
  <c r="E170" i="2" s="1"/>
  <c r="E146" i="2"/>
  <c r="E163" i="2" s="1"/>
  <c r="E141" i="2"/>
  <c r="E158" i="2" s="1"/>
  <c r="E147" i="2"/>
  <c r="E164" i="2" s="1"/>
  <c r="B115" i="2"/>
  <c r="B116" i="2"/>
  <c r="B114" i="2"/>
  <c r="B110" i="2"/>
  <c r="K86" i="2"/>
  <c r="L86" i="2" s="1"/>
  <c r="H123" i="2"/>
  <c r="B144" i="2" s="1"/>
  <c r="B111" i="2"/>
  <c r="C58" i="14"/>
  <c r="P4" i="18"/>
  <c r="D62" i="1"/>
  <c r="P5" i="18"/>
  <c r="P6" i="18" s="1"/>
  <c r="Q4" i="18" s="1"/>
  <c r="C51" i="14"/>
  <c r="D61" i="1"/>
  <c r="C52" i="14"/>
  <c r="D64" i="1"/>
  <c r="C59" i="14"/>
  <c r="D59" i="1"/>
  <c r="C50" i="14"/>
  <c r="C49" i="14"/>
  <c r="E41" i="14" s="1"/>
  <c r="D55" i="1"/>
  <c r="D58" i="1"/>
  <c r="D60" i="1"/>
  <c r="C57" i="14"/>
  <c r="D67" i="1"/>
  <c r="D56" i="1"/>
  <c r="C56" i="14"/>
  <c r="D66" i="1"/>
  <c r="C55" i="14"/>
  <c r="D65" i="1"/>
  <c r="D57" i="1"/>
  <c r="C54" i="14"/>
  <c r="L73" i="3"/>
  <c r="W25" i="3"/>
  <c r="V28" i="3"/>
  <c r="W33" i="3"/>
  <c r="V32" i="3"/>
  <c r="W32" i="3"/>
  <c r="V31" i="3"/>
  <c r="W31" i="3" s="1"/>
  <c r="V30" i="3"/>
  <c r="W30" i="3" s="1"/>
  <c r="V29" i="3"/>
  <c r="W29" i="3" s="1"/>
  <c r="W28" i="3"/>
  <c r="R83" i="3"/>
  <c r="W24" i="3"/>
  <c r="D73" i="5"/>
  <c r="C42" i="5"/>
  <c r="C45" i="5" s="1"/>
  <c r="C37" i="5" s="1"/>
  <c r="I60" i="1"/>
  <c r="I55" i="1"/>
  <c r="I56" i="1"/>
  <c r="I66" i="1"/>
  <c r="I61" i="1"/>
  <c r="I65" i="1"/>
  <c r="I62" i="1"/>
  <c r="I58" i="1"/>
  <c r="I59" i="1"/>
  <c r="I67" i="1"/>
  <c r="I63" i="1"/>
  <c r="I57" i="1"/>
  <c r="L30" i="18"/>
  <c r="C59" i="18" s="1"/>
  <c r="L27" i="18"/>
  <c r="C56" i="18" s="1"/>
  <c r="D56" i="18" s="1"/>
  <c r="L35" i="18"/>
  <c r="L31" i="18"/>
  <c r="C60" i="18" s="1"/>
  <c r="L33" i="18"/>
  <c r="C62" i="18" s="1"/>
  <c r="L32" i="18"/>
  <c r="C61" i="18" s="1"/>
  <c r="D61" i="18" s="1"/>
  <c r="L26" i="18"/>
  <c r="C55" i="18" s="1"/>
  <c r="L28" i="18"/>
  <c r="C57" i="18" s="1"/>
  <c r="L36" i="18"/>
  <c r="C65" i="18" s="1"/>
  <c r="D65" i="18" s="1"/>
  <c r="E65" i="18" s="1"/>
  <c r="D79" i="18" s="1"/>
  <c r="L29" i="18"/>
  <c r="C58" i="18" s="1"/>
  <c r="L25" i="18"/>
  <c r="B44" i="18"/>
  <c r="D64" i="18"/>
  <c r="E64" i="18" s="1"/>
  <c r="D78" i="18" s="1"/>
  <c r="C64" i="18"/>
  <c r="L34" i="18"/>
  <c r="C63" i="18" s="1"/>
  <c r="B57" i="18"/>
  <c r="D57" i="18"/>
  <c r="B58" i="18"/>
  <c r="D58" i="18" s="1"/>
  <c r="D62" i="18"/>
  <c r="D60" i="18"/>
  <c r="D59" i="18"/>
  <c r="B46" i="18"/>
  <c r="B41" i="18"/>
  <c r="C25" i="18"/>
  <c r="D25" i="18" s="1"/>
  <c r="E25" i="18" s="1"/>
  <c r="L21" i="18"/>
  <c r="C38" i="14"/>
  <c r="C43" i="14"/>
  <c r="E49" i="14" s="1"/>
  <c r="C39" i="14"/>
  <c r="E45" i="14" s="1"/>
  <c r="C45" i="14"/>
  <c r="E51" i="14" s="1"/>
  <c r="C44" i="14"/>
  <c r="E50" i="14" s="1"/>
  <c r="C37" i="14"/>
  <c r="C36" i="14"/>
  <c r="C42" i="14"/>
  <c r="C40" i="14"/>
  <c r="C41" i="14"/>
  <c r="I57" i="6"/>
  <c r="Q82" i="6" s="1"/>
  <c r="E57" i="6"/>
  <c r="M82" i="6" s="1"/>
  <c r="E68" i="6"/>
  <c r="M93" i="6" s="1"/>
  <c r="E65" i="6"/>
  <c r="M90" i="6" s="1"/>
  <c r="E56" i="6"/>
  <c r="M81" i="6" s="1"/>
  <c r="E64" i="6"/>
  <c r="M89" i="6" s="1"/>
  <c r="E61" i="6"/>
  <c r="M86" i="6" s="1"/>
  <c r="C66" i="6"/>
  <c r="K91" i="6" s="1"/>
  <c r="E60" i="6"/>
  <c r="M85" i="6" s="1"/>
  <c r="D146" i="2"/>
  <c r="E58" i="6"/>
  <c r="M83" i="6" s="1"/>
  <c r="I66" i="6"/>
  <c r="Q91" i="6" s="1"/>
  <c r="E66" i="6"/>
  <c r="M91" i="6" s="1"/>
  <c r="I65" i="6"/>
  <c r="Q90" i="6" s="1"/>
  <c r="I58" i="6"/>
  <c r="Q83" i="6" s="1"/>
  <c r="E36" i="10"/>
  <c r="E41" i="10"/>
  <c r="D7" i="14"/>
  <c r="E55" i="10" s="1"/>
  <c r="E39" i="10"/>
  <c r="E40" i="10"/>
  <c r="I68" i="6"/>
  <c r="Q93" i="6" s="1"/>
  <c r="I60" i="6"/>
  <c r="Q85" i="6" s="1"/>
  <c r="D148" i="2"/>
  <c r="E44" i="10"/>
  <c r="E46" i="10"/>
  <c r="J38" i="6"/>
  <c r="J39" i="6" s="1"/>
  <c r="E67" i="6"/>
  <c r="M92" i="6" s="1"/>
  <c r="E59" i="6"/>
  <c r="M84" i="6" s="1"/>
  <c r="I67" i="6"/>
  <c r="Q92" i="6" s="1"/>
  <c r="I59" i="6"/>
  <c r="Q84" i="6" s="1"/>
  <c r="D147" i="2"/>
  <c r="B6" i="14"/>
  <c r="B8" i="14"/>
  <c r="D8" i="14" s="1"/>
  <c r="I64" i="6"/>
  <c r="Q89" i="6" s="1"/>
  <c r="D152" i="2"/>
  <c r="D144" i="2"/>
  <c r="E63" i="6"/>
  <c r="M88" i="6" s="1"/>
  <c r="I63" i="6"/>
  <c r="Q88" i="6" s="1"/>
  <c r="D151" i="2"/>
  <c r="D143" i="2"/>
  <c r="J55" i="6"/>
  <c r="R80" i="6" s="1"/>
  <c r="G63" i="6"/>
  <c r="O88" i="6" s="1"/>
  <c r="I62" i="6"/>
  <c r="Q87" i="6" s="1"/>
  <c r="D150" i="2"/>
  <c r="D142" i="2"/>
  <c r="E37" i="10"/>
  <c r="D145" i="2"/>
  <c r="E43" i="10"/>
  <c r="I56" i="6"/>
  <c r="Q81" i="6" s="1"/>
  <c r="D126" i="2"/>
  <c r="D127" i="2"/>
  <c r="D125" i="2"/>
  <c r="B44" i="2"/>
  <c r="D104" i="2" s="1"/>
  <c r="D67" i="2"/>
  <c r="D118" i="2" s="1"/>
  <c r="M97" i="2"/>
  <c r="D100" i="2"/>
  <c r="D96" i="2"/>
  <c r="Y61" i="5"/>
  <c r="Y53" i="5"/>
  <c r="Y52" i="5"/>
  <c r="Y60" i="5"/>
  <c r="AB58" i="5"/>
  <c r="AB54" i="5"/>
  <c r="AB52" i="5"/>
  <c r="AB50" i="5"/>
  <c r="AB49" i="5"/>
  <c r="AC57" i="5"/>
  <c r="AB59" i="5"/>
  <c r="AB51" i="5"/>
  <c r="AB60" i="5"/>
  <c r="J92" i="2"/>
  <c r="M92" i="2" s="1"/>
  <c r="N92" i="2" s="1"/>
  <c r="C115" i="2" s="1"/>
  <c r="J95" i="2"/>
  <c r="M95" i="2" s="1"/>
  <c r="N95" i="2" s="1"/>
  <c r="C116" i="2" s="1"/>
  <c r="J90" i="2"/>
  <c r="M90" i="2" s="1"/>
  <c r="N90" i="2" s="1"/>
  <c r="C113" i="2" s="1"/>
  <c r="J89" i="2"/>
  <c r="M89" i="2" s="1"/>
  <c r="N89" i="2" s="1"/>
  <c r="C114" i="2" s="1"/>
  <c r="J88" i="2"/>
  <c r="M88" i="2" s="1"/>
  <c r="N88" i="2" s="1"/>
  <c r="C120" i="2" s="1"/>
  <c r="J96" i="2"/>
  <c r="M96" i="2" s="1"/>
  <c r="N96" i="2" s="1"/>
  <c r="C111" i="2" s="1"/>
  <c r="J93" i="2"/>
  <c r="M93" i="2" s="1"/>
  <c r="N93" i="2" s="1"/>
  <c r="C109" i="2" s="1"/>
  <c r="J86" i="2"/>
  <c r="J87" i="2"/>
  <c r="M87" i="2" s="1"/>
  <c r="N87" i="2" s="1"/>
  <c r="C112" i="2" s="1"/>
  <c r="J91" i="2"/>
  <c r="M91" i="2" s="1"/>
  <c r="N91" i="2" s="1"/>
  <c r="C110" i="2" s="1"/>
  <c r="J94" i="2"/>
  <c r="M94" i="2" s="1"/>
  <c r="N94" i="2" s="1"/>
  <c r="C117" i="2" s="1"/>
  <c r="D101" i="2"/>
  <c r="D99" i="2"/>
  <c r="T23" i="9"/>
  <c r="E23" i="9" s="1"/>
  <c r="G62" i="6"/>
  <c r="O87" i="6" s="1"/>
  <c r="C65" i="6"/>
  <c r="K90" i="6" s="1"/>
  <c r="C63" i="6"/>
  <c r="K88" i="6" s="1"/>
  <c r="C68" i="6"/>
  <c r="K93" i="6" s="1"/>
  <c r="C58" i="6"/>
  <c r="K83" i="6" s="1"/>
  <c r="H61" i="6"/>
  <c r="P86" i="6" s="1"/>
  <c r="C67" i="6"/>
  <c r="K92" i="6" s="1"/>
  <c r="H60" i="6"/>
  <c r="P85" i="6" s="1"/>
  <c r="H59" i="6"/>
  <c r="P84" i="6" s="1"/>
  <c r="F65" i="6"/>
  <c r="N90" i="6" s="1"/>
  <c r="H68" i="6"/>
  <c r="P93" i="6" s="1"/>
  <c r="C61" i="6"/>
  <c r="K86" i="6" s="1"/>
  <c r="F64" i="6"/>
  <c r="N89" i="6" s="1"/>
  <c r="H67" i="6"/>
  <c r="P92" i="6" s="1"/>
  <c r="H56" i="6"/>
  <c r="P81" i="6" s="1"/>
  <c r="C62" i="6"/>
  <c r="K87" i="6" s="1"/>
  <c r="C60" i="6"/>
  <c r="K85" i="6" s="1"/>
  <c r="F58" i="6"/>
  <c r="N83" i="6" s="1"/>
  <c r="H66" i="6"/>
  <c r="P91" i="6" s="1"/>
  <c r="K55" i="6"/>
  <c r="S80" i="6" s="1"/>
  <c r="C64" i="6"/>
  <c r="K89" i="6" s="1"/>
  <c r="F66" i="6"/>
  <c r="N91" i="6" s="1"/>
  <c r="H58" i="6"/>
  <c r="P83" i="6" s="1"/>
  <c r="C56" i="6"/>
  <c r="K81" i="6" s="1"/>
  <c r="C59" i="6"/>
  <c r="K84" i="6" s="1"/>
  <c r="F57" i="6"/>
  <c r="N82" i="6" s="1"/>
  <c r="H64" i="6"/>
  <c r="P89" i="6" s="1"/>
  <c r="G56" i="6"/>
  <c r="O81" i="6" s="1"/>
  <c r="F67" i="6"/>
  <c r="N92" i="6" s="1"/>
  <c r="F59" i="6"/>
  <c r="N84" i="6" s="1"/>
  <c r="G64" i="6"/>
  <c r="O89" i="6" s="1"/>
  <c r="H62" i="6"/>
  <c r="P87" i="6" s="1"/>
  <c r="G68" i="6"/>
  <c r="O93" i="6" s="1"/>
  <c r="F62" i="6"/>
  <c r="N87" i="6" s="1"/>
  <c r="G67" i="6"/>
  <c r="O92" i="6" s="1"/>
  <c r="G59" i="6"/>
  <c r="O84" i="6" s="1"/>
  <c r="H65" i="6"/>
  <c r="P90" i="6" s="1"/>
  <c r="H57" i="6"/>
  <c r="P82" i="6" s="1"/>
  <c r="B37" i="1"/>
  <c r="G61" i="6"/>
  <c r="O86" i="6" s="1"/>
  <c r="G60" i="6"/>
  <c r="O85" i="6" s="1"/>
  <c r="G66" i="6"/>
  <c r="O91" i="6" s="1"/>
  <c r="F63" i="6"/>
  <c r="N88" i="6" s="1"/>
  <c r="F56" i="6"/>
  <c r="N81" i="6" s="1"/>
  <c r="F61" i="6"/>
  <c r="N86" i="6" s="1"/>
  <c r="G58" i="6"/>
  <c r="O83" i="6" s="1"/>
  <c r="F68" i="6"/>
  <c r="N93" i="6" s="1"/>
  <c r="G65" i="6"/>
  <c r="O90" i="6" s="1"/>
  <c r="E34" i="12"/>
  <c r="E35" i="12"/>
  <c r="E23" i="12"/>
  <c r="Y55" i="5"/>
  <c r="AC59" i="5"/>
  <c r="AC51" i="5"/>
  <c r="AD56" i="5"/>
  <c r="Y49" i="5"/>
  <c r="Y54" i="5"/>
  <c r="AB61" i="5"/>
  <c r="AB53" i="5"/>
  <c r="AC58" i="5"/>
  <c r="AC50" i="5"/>
  <c r="AD55" i="5"/>
  <c r="AD49" i="5"/>
  <c r="AD53" i="5"/>
  <c r="Y59" i="5"/>
  <c r="Y51" i="5"/>
  <c r="AC55" i="5"/>
  <c r="AD60" i="5"/>
  <c r="AD52" i="5"/>
  <c r="Y58" i="5"/>
  <c r="Y50" i="5"/>
  <c r="AB57" i="5"/>
  <c r="AC49" i="5"/>
  <c r="AC54" i="5"/>
  <c r="AD59" i="5"/>
  <c r="AD51" i="5"/>
  <c r="AD54" i="5"/>
  <c r="AD61" i="5"/>
  <c r="Y57" i="5"/>
  <c r="AB56" i="5"/>
  <c r="AC61" i="5"/>
  <c r="AC53" i="5"/>
  <c r="AD58" i="5"/>
  <c r="AD50" i="5"/>
  <c r="AC56" i="5"/>
  <c r="AB43" i="5"/>
  <c r="AB44" i="5" s="1"/>
  <c r="AC60" i="5"/>
  <c r="M64" i="6"/>
  <c r="U89" i="6" s="1"/>
  <c r="K38" i="6"/>
  <c r="K51" i="6" s="1"/>
  <c r="E19" i="9"/>
  <c r="E18" i="9"/>
  <c r="B34" i="9" s="1"/>
  <c r="E16" i="9"/>
  <c r="B31" i="9" s="1"/>
  <c r="E15" i="9"/>
  <c r="B35" i="9" s="1"/>
  <c r="E17" i="9"/>
  <c r="B33" i="9" s="1"/>
  <c r="E42" i="10"/>
  <c r="C35" i="10"/>
  <c r="B161" i="2" l="1"/>
  <c r="B177" i="2"/>
  <c r="K40" i="6"/>
  <c r="E90" i="6"/>
  <c r="B93" i="6"/>
  <c r="D93" i="6" s="1"/>
  <c r="K66" i="6"/>
  <c r="B90" i="6"/>
  <c r="D90" i="6" s="1"/>
  <c r="B97" i="6"/>
  <c r="D97" i="6" s="1"/>
  <c r="E101" i="6"/>
  <c r="D103" i="6"/>
  <c r="B98" i="6"/>
  <c r="D98" i="6" s="1"/>
  <c r="B148" i="2"/>
  <c r="B149" i="2"/>
  <c r="B151" i="2"/>
  <c r="G128" i="2"/>
  <c r="H128" i="2" s="1"/>
  <c r="G127" i="2"/>
  <c r="H127" i="2" s="1"/>
  <c r="G124" i="2"/>
  <c r="H124" i="2" s="1"/>
  <c r="G129" i="2"/>
  <c r="H129" i="2" s="1"/>
  <c r="B152" i="2"/>
  <c r="B153" i="2"/>
  <c r="M86" i="2"/>
  <c r="N86" i="2" s="1"/>
  <c r="D128" i="2"/>
  <c r="G134" i="2"/>
  <c r="H134" i="2" s="1"/>
  <c r="B146" i="2"/>
  <c r="B150" i="2"/>
  <c r="B141" i="2"/>
  <c r="B142" i="2"/>
  <c r="B145" i="2"/>
  <c r="B147" i="2"/>
  <c r="B143" i="2"/>
  <c r="E43" i="14"/>
  <c r="E48" i="14"/>
  <c r="E42" i="14"/>
  <c r="M55" i="10"/>
  <c r="J55" i="10"/>
  <c r="K55" i="10"/>
  <c r="C55" i="10"/>
  <c r="B55" i="10"/>
  <c r="B68" i="10" s="1"/>
  <c r="G55" i="10"/>
  <c r="F55" i="10"/>
  <c r="H55" i="10"/>
  <c r="L55" i="10"/>
  <c r="D55" i="10"/>
  <c r="J42" i="6"/>
  <c r="E44" i="14"/>
  <c r="I55" i="10"/>
  <c r="J48" i="6"/>
  <c r="E47" i="14"/>
  <c r="E46" i="14"/>
  <c r="E57" i="10"/>
  <c r="E63" i="10"/>
  <c r="E66" i="10"/>
  <c r="E56" i="10"/>
  <c r="E60" i="10"/>
  <c r="E61" i="10"/>
  <c r="E64" i="10"/>
  <c r="E68" i="10"/>
  <c r="E58" i="10"/>
  <c r="E62" i="10"/>
  <c r="E65" i="10"/>
  <c r="E67" i="10"/>
  <c r="E59" i="10"/>
  <c r="E38" i="10"/>
  <c r="O35" i="5"/>
  <c r="F78" i="18"/>
  <c r="E78" i="18"/>
  <c r="D34" i="1"/>
  <c r="D36" i="1"/>
  <c r="J54" i="1" s="1"/>
  <c r="D37" i="1"/>
  <c r="D32" i="1"/>
  <c r="D55" i="18"/>
  <c r="D63" i="18"/>
  <c r="O35" i="18"/>
  <c r="P35" i="18" s="1"/>
  <c r="Q5" i="18"/>
  <c r="F25" i="18"/>
  <c r="Q35" i="18" s="1"/>
  <c r="G25" i="18"/>
  <c r="R35" i="18" s="1"/>
  <c r="J50" i="6"/>
  <c r="J40" i="6"/>
  <c r="L55" i="6"/>
  <c r="I32" i="15" s="1"/>
  <c r="J45" i="6"/>
  <c r="J46" i="6"/>
  <c r="J51" i="6"/>
  <c r="D28" i="1"/>
  <c r="D33" i="1"/>
  <c r="D6" i="14"/>
  <c r="J64" i="6"/>
  <c r="R89" i="6" s="1"/>
  <c r="J60" i="6"/>
  <c r="J68" i="6"/>
  <c r="J61" i="6"/>
  <c r="J56" i="6"/>
  <c r="J57" i="6"/>
  <c r="J65" i="6"/>
  <c r="J58" i="6"/>
  <c r="J66" i="6"/>
  <c r="R91" i="6" s="1"/>
  <c r="J59" i="6"/>
  <c r="R84" i="6" s="1"/>
  <c r="J67" i="6"/>
  <c r="R92" i="6" s="1"/>
  <c r="J62" i="6"/>
  <c r="R87" i="6" s="1"/>
  <c r="J63" i="6"/>
  <c r="J43" i="6"/>
  <c r="G130" i="2"/>
  <c r="J41" i="6"/>
  <c r="B35" i="2"/>
  <c r="J47" i="6"/>
  <c r="J49" i="6"/>
  <c r="J44" i="6"/>
  <c r="C118" i="2"/>
  <c r="N97" i="2"/>
  <c r="C119" i="2" s="1"/>
  <c r="H44" i="2"/>
  <c r="K60" i="6"/>
  <c r="K58" i="6"/>
  <c r="S83" i="6" s="1"/>
  <c r="K64" i="6"/>
  <c r="S89" i="6" s="1"/>
  <c r="K57" i="6"/>
  <c r="K65" i="6"/>
  <c r="K67" i="6"/>
  <c r="K61" i="6"/>
  <c r="K62" i="6"/>
  <c r="S87" i="6" s="1"/>
  <c r="K68" i="6"/>
  <c r="S93" i="6" s="1"/>
  <c r="K63" i="6"/>
  <c r="S88" i="6" s="1"/>
  <c r="K59" i="6"/>
  <c r="S84" i="6" s="1"/>
  <c r="K56" i="6"/>
  <c r="L38" i="6"/>
  <c r="L47" i="6" s="1"/>
  <c r="K50" i="6"/>
  <c r="K43" i="6"/>
  <c r="K48" i="6"/>
  <c r="K44" i="6"/>
  <c r="K39" i="6"/>
  <c r="K49" i="6"/>
  <c r="K41" i="6"/>
  <c r="K42" i="6"/>
  <c r="K45" i="6"/>
  <c r="K47" i="6"/>
  <c r="K46" i="6"/>
  <c r="E35" i="10"/>
  <c r="E45" i="10"/>
  <c r="E96" i="6" l="1"/>
  <c r="R86" i="6"/>
  <c r="B179" i="2"/>
  <c r="B163" i="2"/>
  <c r="E97" i="6"/>
  <c r="E95" i="6"/>
  <c r="R85" i="6"/>
  <c r="B160" i="2"/>
  <c r="B176" i="2"/>
  <c r="B95" i="6"/>
  <c r="D95" i="6" s="1"/>
  <c r="S85" i="6"/>
  <c r="E93" i="6"/>
  <c r="R83" i="6"/>
  <c r="B180" i="2"/>
  <c r="B164" i="2"/>
  <c r="B182" i="2"/>
  <c r="B166" i="2"/>
  <c r="E102" i="6"/>
  <c r="B102" i="6"/>
  <c r="D102" i="6" s="1"/>
  <c r="S92" i="6"/>
  <c r="E98" i="6"/>
  <c r="R88" i="6"/>
  <c r="E91" i="6"/>
  <c r="R81" i="6"/>
  <c r="B158" i="2"/>
  <c r="B100" i="6"/>
  <c r="D100" i="6" s="1"/>
  <c r="S90" i="6"/>
  <c r="B183" i="2"/>
  <c r="B167" i="2"/>
  <c r="B101" i="6"/>
  <c r="D101" i="6" s="1"/>
  <c r="S91" i="6"/>
  <c r="B91" i="6"/>
  <c r="D91" i="6" s="1"/>
  <c r="S81" i="6"/>
  <c r="B92" i="6"/>
  <c r="D92" i="6" s="1"/>
  <c r="S82" i="6"/>
  <c r="E103" i="6"/>
  <c r="R93" i="6"/>
  <c r="L68" i="6"/>
  <c r="T93" i="6" s="1"/>
  <c r="T80" i="6"/>
  <c r="I33" i="15"/>
  <c r="I31" i="15"/>
  <c r="J31" i="15" s="1"/>
  <c r="B99" i="6"/>
  <c r="D99" i="6" s="1"/>
  <c r="B168" i="2"/>
  <c r="B184" i="2"/>
  <c r="B170" i="2"/>
  <c r="B186" i="2"/>
  <c r="B181" i="2"/>
  <c r="B165" i="2"/>
  <c r="B94" i="6"/>
  <c r="D94" i="6" s="1"/>
  <c r="I34" i="15"/>
  <c r="E100" i="6"/>
  <c r="R90" i="6"/>
  <c r="B178" i="2"/>
  <c r="B162" i="2"/>
  <c r="B96" i="6"/>
  <c r="D96" i="6" s="1"/>
  <c r="S86" i="6"/>
  <c r="E92" i="6"/>
  <c r="R82" i="6"/>
  <c r="B175" i="2"/>
  <c r="B159" i="2"/>
  <c r="E99" i="6"/>
  <c r="E94" i="6"/>
  <c r="B169" i="2"/>
  <c r="B185" i="2"/>
  <c r="E71" i="6"/>
  <c r="F71" i="6" s="1"/>
  <c r="G142" i="2"/>
  <c r="G159" i="2" s="1"/>
  <c r="G150" i="2"/>
  <c r="G167" i="2" s="1"/>
  <c r="G153" i="2"/>
  <c r="G170" i="2" s="1"/>
  <c r="G143" i="2"/>
  <c r="G160" i="2" s="1"/>
  <c r="G151" i="2"/>
  <c r="G168" i="2" s="1"/>
  <c r="G145" i="2"/>
  <c r="G162" i="2" s="1"/>
  <c r="G144" i="2"/>
  <c r="G161" i="2" s="1"/>
  <c r="G152" i="2"/>
  <c r="G169" i="2" s="1"/>
  <c r="G146" i="2"/>
  <c r="G163" i="2" s="1"/>
  <c r="G141" i="2"/>
  <c r="G158" i="2" s="1"/>
  <c r="G147" i="2"/>
  <c r="G164" i="2" s="1"/>
  <c r="G148" i="2"/>
  <c r="G165" i="2" s="1"/>
  <c r="G149" i="2"/>
  <c r="G166" i="2" s="1"/>
  <c r="M148" i="2"/>
  <c r="M165" i="2" s="1"/>
  <c r="M149" i="2"/>
  <c r="M166" i="2" s="1"/>
  <c r="M151" i="2"/>
  <c r="M168" i="2" s="1"/>
  <c r="M142" i="2"/>
  <c r="M159" i="2" s="1"/>
  <c r="M150" i="2"/>
  <c r="M167" i="2" s="1"/>
  <c r="M143" i="2"/>
  <c r="M160" i="2" s="1"/>
  <c r="M144" i="2"/>
  <c r="M161" i="2" s="1"/>
  <c r="M152" i="2"/>
  <c r="M169" i="2" s="1"/>
  <c r="M145" i="2"/>
  <c r="M162" i="2" s="1"/>
  <c r="M153" i="2"/>
  <c r="M170" i="2" s="1"/>
  <c r="M146" i="2"/>
  <c r="M163" i="2" s="1"/>
  <c r="M141" i="2"/>
  <c r="M158" i="2" s="1"/>
  <c r="M147" i="2"/>
  <c r="M164" i="2" s="1"/>
  <c r="H147" i="2"/>
  <c r="H164" i="2" s="1"/>
  <c r="H142" i="2"/>
  <c r="H159" i="2" s="1"/>
  <c r="H148" i="2"/>
  <c r="H165" i="2" s="1"/>
  <c r="H151" i="2"/>
  <c r="H168" i="2" s="1"/>
  <c r="H149" i="2"/>
  <c r="H166" i="2" s="1"/>
  <c r="H150" i="2"/>
  <c r="H167" i="2" s="1"/>
  <c r="H143" i="2"/>
  <c r="H160" i="2" s="1"/>
  <c r="H144" i="2"/>
  <c r="H161" i="2" s="1"/>
  <c r="H152" i="2"/>
  <c r="H169" i="2" s="1"/>
  <c r="H145" i="2"/>
  <c r="H162" i="2" s="1"/>
  <c r="H153" i="2"/>
  <c r="H170" i="2" s="1"/>
  <c r="H146" i="2"/>
  <c r="H163" i="2" s="1"/>
  <c r="H141" i="2"/>
  <c r="H158" i="2" s="1"/>
  <c r="G132" i="2"/>
  <c r="H132" i="2" s="1"/>
  <c r="C143" i="2"/>
  <c r="C151" i="2"/>
  <c r="C146" i="2"/>
  <c r="C144" i="2"/>
  <c r="C152" i="2"/>
  <c r="C141" i="2"/>
  <c r="C145" i="2"/>
  <c r="C153" i="2"/>
  <c r="C147" i="2"/>
  <c r="C148" i="2"/>
  <c r="C149" i="2"/>
  <c r="C142" i="2"/>
  <c r="C150" i="2"/>
  <c r="F145" i="2"/>
  <c r="F162" i="2" s="1"/>
  <c r="F153" i="2"/>
  <c r="F170" i="2" s="1"/>
  <c r="F146" i="2"/>
  <c r="F163" i="2" s="1"/>
  <c r="F141" i="2"/>
  <c r="F158" i="2" s="1"/>
  <c r="F147" i="2"/>
  <c r="F164" i="2" s="1"/>
  <c r="F142" i="2"/>
  <c r="F159" i="2" s="1"/>
  <c r="F150" i="2"/>
  <c r="F167" i="2" s="1"/>
  <c r="F143" i="2"/>
  <c r="F160" i="2" s="1"/>
  <c r="F151" i="2"/>
  <c r="F168" i="2" s="1"/>
  <c r="F144" i="2"/>
  <c r="F161" i="2" s="1"/>
  <c r="F152" i="2"/>
  <c r="F169" i="2" s="1"/>
  <c r="F148" i="2"/>
  <c r="F165" i="2" s="1"/>
  <c r="F149" i="2"/>
  <c r="F166" i="2" s="1"/>
  <c r="D38" i="1"/>
  <c r="L54" i="1" s="1"/>
  <c r="G56" i="10"/>
  <c r="G67" i="10"/>
  <c r="G62" i="10"/>
  <c r="G66" i="10"/>
  <c r="G63" i="10"/>
  <c r="G61" i="10"/>
  <c r="G59" i="10"/>
  <c r="G60" i="10"/>
  <c r="G64" i="10"/>
  <c r="G58" i="10"/>
  <c r="G57" i="10"/>
  <c r="G68" i="10"/>
  <c r="G65" i="10"/>
  <c r="B67" i="10"/>
  <c r="F63" i="10"/>
  <c r="F65" i="10"/>
  <c r="F59" i="10"/>
  <c r="F62" i="10"/>
  <c r="F60" i="10"/>
  <c r="F64" i="10"/>
  <c r="F61" i="10"/>
  <c r="F56" i="10"/>
  <c r="F57" i="10"/>
  <c r="F58" i="10"/>
  <c r="F67" i="10"/>
  <c r="F68" i="10"/>
  <c r="F66" i="10"/>
  <c r="I63" i="10"/>
  <c r="I58" i="10"/>
  <c r="I66" i="10"/>
  <c r="I64" i="10"/>
  <c r="I59" i="10"/>
  <c r="I65" i="10"/>
  <c r="I60" i="10"/>
  <c r="I67" i="10"/>
  <c r="I68" i="10"/>
  <c r="I61" i="10"/>
  <c r="I56" i="10"/>
  <c r="I62" i="10"/>
  <c r="I57" i="10"/>
  <c r="C61" i="10"/>
  <c r="C58" i="10"/>
  <c r="C59" i="10"/>
  <c r="C60" i="10"/>
  <c r="C62" i="10"/>
  <c r="C57" i="10"/>
  <c r="C67" i="10"/>
  <c r="C56" i="10"/>
  <c r="C68" i="10"/>
  <c r="C66" i="10"/>
  <c r="C65" i="10"/>
  <c r="C64" i="10"/>
  <c r="C63" i="10"/>
  <c r="B56" i="10"/>
  <c r="B59" i="10"/>
  <c r="B58" i="10"/>
  <c r="B63" i="10"/>
  <c r="B62" i="10"/>
  <c r="B57" i="10"/>
  <c r="B64" i="10"/>
  <c r="B61" i="10"/>
  <c r="B60" i="10"/>
  <c r="B66" i="10"/>
  <c r="K68" i="10"/>
  <c r="K57" i="10"/>
  <c r="K56" i="10"/>
  <c r="K58" i="10"/>
  <c r="K60" i="10"/>
  <c r="K63" i="10"/>
  <c r="K64" i="10"/>
  <c r="K62" i="10"/>
  <c r="K66" i="10"/>
  <c r="K61" i="10"/>
  <c r="K59" i="10"/>
  <c r="K65" i="10"/>
  <c r="K67" i="10"/>
  <c r="B65" i="10"/>
  <c r="D61" i="10"/>
  <c r="D56" i="10"/>
  <c r="D63" i="10"/>
  <c r="D68" i="10"/>
  <c r="D65" i="10"/>
  <c r="D60" i="10"/>
  <c r="D57" i="10"/>
  <c r="D66" i="10"/>
  <c r="D64" i="10"/>
  <c r="D58" i="10"/>
  <c r="D62" i="10"/>
  <c r="D59" i="10"/>
  <c r="D67" i="10"/>
  <c r="J68" i="10"/>
  <c r="J56" i="10"/>
  <c r="J61" i="10"/>
  <c r="J57" i="10"/>
  <c r="J64" i="10"/>
  <c r="J62" i="10"/>
  <c r="J58" i="10"/>
  <c r="J63" i="10"/>
  <c r="J59" i="10"/>
  <c r="J65" i="10"/>
  <c r="J66" i="10"/>
  <c r="J67" i="10"/>
  <c r="J60" i="10"/>
  <c r="M56" i="10"/>
  <c r="M58" i="10"/>
  <c r="M67" i="10"/>
  <c r="M64" i="10"/>
  <c r="M59" i="10"/>
  <c r="M66" i="10"/>
  <c r="M62" i="10"/>
  <c r="M65" i="10"/>
  <c r="M63" i="10"/>
  <c r="M61" i="10"/>
  <c r="M57" i="10"/>
  <c r="M68" i="10"/>
  <c r="M60" i="10"/>
  <c r="H56" i="10"/>
  <c r="H61" i="10"/>
  <c r="H62" i="10"/>
  <c r="H67" i="10"/>
  <c r="H64" i="10"/>
  <c r="H59" i="10"/>
  <c r="H66" i="10"/>
  <c r="H63" i="10"/>
  <c r="H58" i="10"/>
  <c r="H57" i="10"/>
  <c r="H68" i="10"/>
  <c r="H65" i="10"/>
  <c r="H60" i="10"/>
  <c r="L61" i="10"/>
  <c r="L62" i="10"/>
  <c r="L65" i="10"/>
  <c r="L68" i="10"/>
  <c r="L56" i="10"/>
  <c r="L73" i="10" s="1"/>
  <c r="L64" i="10"/>
  <c r="L59" i="10"/>
  <c r="L67" i="10"/>
  <c r="L60" i="10"/>
  <c r="L63" i="10"/>
  <c r="L58" i="10"/>
  <c r="L66" i="10"/>
  <c r="L57" i="10"/>
  <c r="L67" i="6"/>
  <c r="L59" i="6"/>
  <c r="J60" i="1"/>
  <c r="J61" i="1"/>
  <c r="J63" i="1"/>
  <c r="J66" i="1"/>
  <c r="J64" i="1"/>
  <c r="J62" i="1"/>
  <c r="J56" i="1"/>
  <c r="J57" i="1"/>
  <c r="J58" i="1"/>
  <c r="J67" i="1"/>
  <c r="J59" i="1"/>
  <c r="J55" i="1"/>
  <c r="J65" i="1"/>
  <c r="L65" i="6"/>
  <c r="L57" i="6"/>
  <c r="L64" i="6"/>
  <c r="N68" i="6"/>
  <c r="G31" i="15" s="1"/>
  <c r="K31" i="15" s="1"/>
  <c r="L63" i="6"/>
  <c r="L62" i="6"/>
  <c r="L56" i="6"/>
  <c r="L60" i="6"/>
  <c r="L66" i="6"/>
  <c r="L61" i="6"/>
  <c r="L58" i="6"/>
  <c r="G131" i="2"/>
  <c r="B36" i="2"/>
  <c r="H35" i="2"/>
  <c r="D102" i="2"/>
  <c r="L55" i="1"/>
  <c r="L58" i="1"/>
  <c r="L62" i="1"/>
  <c r="L59" i="1"/>
  <c r="L49" i="6"/>
  <c r="L39" i="6"/>
  <c r="L42" i="6"/>
  <c r="L45" i="6"/>
  <c r="L44" i="6"/>
  <c r="L40" i="6"/>
  <c r="L43" i="6"/>
  <c r="L41" i="6"/>
  <c r="L51" i="6"/>
  <c r="N51" i="6" s="1"/>
  <c r="L48" i="6"/>
  <c r="L46" i="6"/>
  <c r="L50" i="6"/>
  <c r="E47" i="10"/>
  <c r="E79" i="6" l="1"/>
  <c r="F79" i="6" s="1"/>
  <c r="T88" i="6"/>
  <c r="E74" i="6"/>
  <c r="F74" i="6" s="1"/>
  <c r="T83" i="6"/>
  <c r="E83" i="6"/>
  <c r="F83" i="6" s="1"/>
  <c r="T92" i="6"/>
  <c r="E82" i="6"/>
  <c r="F82" i="6" s="1"/>
  <c r="T91" i="6"/>
  <c r="E81" i="6"/>
  <c r="F81" i="6" s="1"/>
  <c r="T90" i="6"/>
  <c r="E77" i="6"/>
  <c r="F77" i="6" s="1"/>
  <c r="T86" i="6"/>
  <c r="E76" i="6"/>
  <c r="F76" i="6" s="1"/>
  <c r="T85" i="6"/>
  <c r="E75" i="6"/>
  <c r="F75" i="6" s="1"/>
  <c r="T84" i="6"/>
  <c r="E73" i="6"/>
  <c r="F73" i="6" s="1"/>
  <c r="T82" i="6"/>
  <c r="E72" i="6"/>
  <c r="F72" i="6" s="1"/>
  <c r="T81" i="6"/>
  <c r="E80" i="6"/>
  <c r="F80" i="6" s="1"/>
  <c r="T89" i="6"/>
  <c r="E84" i="6"/>
  <c r="F84" i="6" s="1"/>
  <c r="E78" i="6"/>
  <c r="F78" i="6" s="1"/>
  <c r="T87" i="6"/>
  <c r="L78" i="10"/>
  <c r="L79" i="10"/>
  <c r="L75" i="10"/>
  <c r="L77" i="10"/>
  <c r="L83" i="10"/>
  <c r="L76" i="10"/>
  <c r="L85" i="10"/>
  <c r="L74" i="10"/>
  <c r="L82" i="10"/>
  <c r="L84" i="10"/>
  <c r="L81" i="10"/>
  <c r="L80" i="10"/>
  <c r="N71" i="6"/>
  <c r="G34" i="15"/>
  <c r="G33" i="15"/>
  <c r="G32" i="15"/>
  <c r="C103" i="6"/>
  <c r="C170" i="2"/>
  <c r="G133" i="2"/>
  <c r="H133" i="2" s="1"/>
  <c r="L153" i="2" s="1"/>
  <c r="C159" i="2"/>
  <c r="C161" i="2"/>
  <c r="C162" i="2"/>
  <c r="C158" i="2"/>
  <c r="C167" i="2"/>
  <c r="C166" i="2"/>
  <c r="C163" i="2"/>
  <c r="C169" i="2"/>
  <c r="C165" i="2"/>
  <c r="C168" i="2"/>
  <c r="C101" i="6"/>
  <c r="C97" i="6"/>
  <c r="C164" i="2"/>
  <c r="C160" i="2"/>
  <c r="L56" i="1"/>
  <c r="L61" i="1"/>
  <c r="L66" i="1"/>
  <c r="L57" i="1"/>
  <c r="L63" i="1"/>
  <c r="L65" i="1"/>
  <c r="L67" i="1"/>
  <c r="L64" i="1"/>
  <c r="L60" i="1"/>
  <c r="K143" i="2"/>
  <c r="K160" i="2" s="1"/>
  <c r="K151" i="2"/>
  <c r="K168" i="2" s="1"/>
  <c r="K141" i="2"/>
  <c r="K158" i="2" s="1"/>
  <c r="K144" i="2"/>
  <c r="K161" i="2" s="1"/>
  <c r="K152" i="2"/>
  <c r="K169" i="2" s="1"/>
  <c r="K145" i="2"/>
  <c r="K162" i="2" s="1"/>
  <c r="K153" i="2"/>
  <c r="K170" i="2" s="1"/>
  <c r="K147" i="2"/>
  <c r="K164" i="2" s="1"/>
  <c r="K148" i="2"/>
  <c r="K165" i="2" s="1"/>
  <c r="K149" i="2"/>
  <c r="K166" i="2" s="1"/>
  <c r="K142" i="2"/>
  <c r="K159" i="2" s="1"/>
  <c r="K150" i="2"/>
  <c r="K167" i="2" s="1"/>
  <c r="K146" i="2"/>
  <c r="K163" i="2" s="1"/>
  <c r="H36" i="2"/>
  <c r="D103" i="2"/>
  <c r="H131" i="2" s="1"/>
  <c r="L151" i="2"/>
  <c r="L146" i="2"/>
  <c r="H130" i="2"/>
  <c r="C31" i="7" l="1"/>
  <c r="D31" i="7" s="1"/>
  <c r="K34" i="15"/>
  <c r="L143" i="2"/>
  <c r="L144" i="2"/>
  <c r="L177" i="2" s="1"/>
  <c r="C29" i="7"/>
  <c r="D29" i="7" s="1"/>
  <c r="K32" i="15"/>
  <c r="L32" i="15" s="1"/>
  <c r="C28" i="7"/>
  <c r="D28" i="7" s="1"/>
  <c r="K33" i="15"/>
  <c r="L170" i="2"/>
  <c r="L186" i="2"/>
  <c r="L168" i="2"/>
  <c r="L184" i="2"/>
  <c r="L160" i="2"/>
  <c r="L176" i="2"/>
  <c r="L163" i="2"/>
  <c r="L179" i="2"/>
  <c r="L161" i="2"/>
  <c r="L145" i="2"/>
  <c r="L148" i="2"/>
  <c r="G135" i="2"/>
  <c r="L150" i="2"/>
  <c r="C33" i="7"/>
  <c r="D33" i="7" s="1"/>
  <c r="C32" i="7"/>
  <c r="D32" i="7" s="1"/>
  <c r="L147" i="2"/>
  <c r="L142" i="2"/>
  <c r="L152" i="2"/>
  <c r="L149" i="2"/>
  <c r="L141" i="2"/>
  <c r="C96" i="6"/>
  <c r="C95" i="6"/>
  <c r="C94" i="6"/>
  <c r="C99" i="6"/>
  <c r="C100" i="6"/>
  <c r="C92" i="6"/>
  <c r="C98" i="6"/>
  <c r="C93" i="6"/>
  <c r="C102" i="6"/>
  <c r="C91" i="6"/>
  <c r="D107" i="2"/>
  <c r="I146" i="2"/>
  <c r="I141" i="2"/>
  <c r="I150" i="2"/>
  <c r="I143" i="2"/>
  <c r="I151" i="2"/>
  <c r="I147" i="2"/>
  <c r="I148" i="2"/>
  <c r="I149" i="2"/>
  <c r="I142" i="2"/>
  <c r="I144" i="2"/>
  <c r="I152" i="2"/>
  <c r="I145" i="2"/>
  <c r="I153" i="2"/>
  <c r="J143" i="2"/>
  <c r="J151" i="2"/>
  <c r="J147" i="2"/>
  <c r="J148" i="2"/>
  <c r="J144" i="2"/>
  <c r="J152" i="2"/>
  <c r="J145" i="2"/>
  <c r="J153" i="2"/>
  <c r="J146" i="2"/>
  <c r="J141" i="2"/>
  <c r="J149" i="2"/>
  <c r="J142" i="2"/>
  <c r="J150" i="2"/>
  <c r="L15" i="18"/>
  <c r="L10" i="18"/>
  <c r="L14" i="18"/>
  <c r="L11" i="18"/>
  <c r="L16" i="18"/>
  <c r="L18" i="18"/>
  <c r="L12" i="18"/>
  <c r="L13" i="18"/>
  <c r="L17" i="18"/>
  <c r="L19" i="18"/>
  <c r="J164" i="2" l="1"/>
  <c r="J180" i="2"/>
  <c r="J168" i="2"/>
  <c r="J184" i="2"/>
  <c r="I165" i="2"/>
  <c r="I181" i="2"/>
  <c r="F98" i="6"/>
  <c r="J163" i="2"/>
  <c r="J179" i="2"/>
  <c r="L167" i="2"/>
  <c r="L183" i="2"/>
  <c r="I170" i="2"/>
  <c r="I186" i="2"/>
  <c r="F103" i="6"/>
  <c r="H103" i="6" s="1"/>
  <c r="I160" i="2"/>
  <c r="I176" i="2"/>
  <c r="F93" i="6"/>
  <c r="L165" i="2"/>
  <c r="L181" i="2"/>
  <c r="I169" i="2"/>
  <c r="I185" i="2"/>
  <c r="F102" i="6"/>
  <c r="H102" i="6" s="1"/>
  <c r="L169" i="2"/>
  <c r="L185" i="2"/>
  <c r="L162" i="2"/>
  <c r="L178" i="2"/>
  <c r="J166" i="2"/>
  <c r="J182" i="2"/>
  <c r="I166" i="2"/>
  <c r="I182" i="2"/>
  <c r="F99" i="6"/>
  <c r="J158" i="2"/>
  <c r="J174" i="2"/>
  <c r="J160" i="2"/>
  <c r="J176" i="2"/>
  <c r="J170" i="2"/>
  <c r="J186" i="2"/>
  <c r="I162" i="2"/>
  <c r="I178" i="2"/>
  <c r="F95" i="6"/>
  <c r="L166" i="2"/>
  <c r="L182" i="2"/>
  <c r="J167" i="2"/>
  <c r="J183" i="2"/>
  <c r="I161" i="2"/>
  <c r="I177" i="2"/>
  <c r="F94" i="6"/>
  <c r="L159" i="2"/>
  <c r="L175" i="2"/>
  <c r="I164" i="2"/>
  <c r="I180" i="2"/>
  <c r="F97" i="6"/>
  <c r="I168" i="2"/>
  <c r="I184" i="2"/>
  <c r="F101" i="6"/>
  <c r="L158" i="2"/>
  <c r="L174" i="2"/>
  <c r="J162" i="2"/>
  <c r="J178" i="2"/>
  <c r="J169" i="2"/>
  <c r="J185" i="2"/>
  <c r="I167" i="2"/>
  <c r="I183" i="2"/>
  <c r="F100" i="6"/>
  <c r="J161" i="2"/>
  <c r="J177" i="2"/>
  <c r="I158" i="2"/>
  <c r="I174" i="2"/>
  <c r="F91" i="6"/>
  <c r="J159" i="2"/>
  <c r="J175" i="2"/>
  <c r="J165" i="2"/>
  <c r="J181" i="2"/>
  <c r="I159" i="2"/>
  <c r="I175" i="2"/>
  <c r="F92" i="6"/>
  <c r="I163" i="2"/>
  <c r="I179" i="2"/>
  <c r="F96" i="6"/>
  <c r="L164" i="2"/>
  <c r="L180" i="2"/>
  <c r="E23" i="18"/>
  <c r="E62" i="18"/>
  <c r="D76" i="18" s="1"/>
  <c r="E21" i="18"/>
  <c r="E60" i="18"/>
  <c r="D74" i="18" s="1"/>
  <c r="E16" i="18"/>
  <c r="E55" i="18"/>
  <c r="D69" i="18" s="1"/>
  <c r="E19" i="18"/>
  <c r="E58" i="18"/>
  <c r="D72" i="18" s="1"/>
  <c r="E24" i="18"/>
  <c r="E63" i="18"/>
  <c r="D77" i="18" s="1"/>
  <c r="E15" i="18"/>
  <c r="D68" i="18"/>
  <c r="E22" i="18"/>
  <c r="G22" i="18" s="1"/>
  <c r="E61" i="18"/>
  <c r="D75" i="18" s="1"/>
  <c r="E20" i="18"/>
  <c r="F20" i="18" s="1"/>
  <c r="E59" i="18"/>
  <c r="D73" i="18" s="1"/>
  <c r="E18" i="18"/>
  <c r="E57" i="18"/>
  <c r="D71" i="18" s="1"/>
  <c r="E17" i="18"/>
  <c r="E56" i="18"/>
  <c r="D70" i="18" s="1"/>
  <c r="F23" i="18"/>
  <c r="G23" i="18"/>
  <c r="F16" i="18"/>
  <c r="G16" i="18"/>
  <c r="F21" i="18"/>
  <c r="G21" i="18"/>
  <c r="F24" i="18"/>
  <c r="G24" i="18"/>
  <c r="F18" i="18"/>
  <c r="G18" i="18"/>
  <c r="F17" i="18"/>
  <c r="G17" i="18"/>
  <c r="C26" i="18"/>
  <c r="D26" i="18" s="1"/>
  <c r="E26" i="18" s="1"/>
  <c r="O36" i="18" s="1"/>
  <c r="P36" i="18" s="1"/>
  <c r="E75" i="18" l="1"/>
  <c r="F75" i="18"/>
  <c r="F73" i="18"/>
  <c r="E73" i="18"/>
  <c r="F69" i="18"/>
  <c r="E69" i="18"/>
  <c r="F77" i="18"/>
  <c r="E77" i="18"/>
  <c r="F72" i="18"/>
  <c r="E72" i="18"/>
  <c r="F74" i="18"/>
  <c r="E74" i="18"/>
  <c r="F70" i="18"/>
  <c r="E70" i="18"/>
  <c r="E76" i="18"/>
  <c r="F76" i="18"/>
  <c r="F68" i="18"/>
  <c r="E68" i="18"/>
  <c r="R28" i="18"/>
  <c r="R33" i="18"/>
  <c r="O29" i="18"/>
  <c r="P29" i="18" s="1"/>
  <c r="G19" i="18"/>
  <c r="R29" i="18" s="1"/>
  <c r="O26" i="18"/>
  <c r="P26" i="18" s="1"/>
  <c r="O27" i="18"/>
  <c r="P27" i="18" s="1"/>
  <c r="R27" i="18"/>
  <c r="O30" i="18"/>
  <c r="P30" i="18" s="1"/>
  <c r="F19" i="18"/>
  <c r="O32" i="18"/>
  <c r="P32" i="18" s="1"/>
  <c r="G20" i="18"/>
  <c r="R30" i="18" s="1"/>
  <c r="O25" i="18"/>
  <c r="P25" i="18" s="1"/>
  <c r="O31" i="18"/>
  <c r="P31" i="18" s="1"/>
  <c r="G15" i="18"/>
  <c r="F22" i="18"/>
  <c r="F15" i="18"/>
  <c r="O28" i="18"/>
  <c r="P28" i="18" s="1"/>
  <c r="O34" i="18"/>
  <c r="P34" i="18" s="1"/>
  <c r="O33" i="18"/>
  <c r="P33" i="18" s="1"/>
  <c r="F26" i="18"/>
  <c r="Q36" i="18" s="1"/>
  <c r="G26" i="18"/>
  <c r="R36" i="18" s="1"/>
  <c r="Q29" i="18" l="1"/>
  <c r="Q34" i="18"/>
  <c r="Q27" i="18"/>
  <c r="Q25" i="18"/>
  <c r="R32" i="18"/>
  <c r="R31" i="18"/>
  <c r="Q31" i="18"/>
  <c r="Q33" i="18"/>
  <c r="R26" i="18"/>
  <c r="R34" i="18"/>
  <c r="Q32" i="18"/>
  <c r="Q28" i="18"/>
  <c r="R25" i="18"/>
  <c r="Q26" i="18"/>
  <c r="Q30" i="18"/>
  <c r="B85" i="10" l="1"/>
  <c r="B8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tc={3FF654CC-D6C5-3A49-8415-3DC3017C00FA}</author>
    <author>tc={B4F124B0-E05A-2C4B-83A6-EA2731C29FC7}</author>
    <author>tc={E445D3C1-694E-FE4C-A209-B1BB5BE285B6}</author>
    <author>tc={4D548646-016A-F341-957E-B1451944FBD8}</author>
  </authors>
  <commentList>
    <comment ref="G1" authorId="0" shapeId="0" xr:uid="{3FF654CC-D6C5-3A49-8415-3DC3017C00FA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As cooling larger market so far this might lead to oversizing, see Czechia !
</t>
      </text>
    </comment>
    <comment ref="F14" authorId="1" shapeId="0" xr:uid="{B4F124B0-E05A-2C4B-83A6-EA2731C29FC7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value does not double check the one in cost estimate 
</t>
      </text>
    </comment>
    <comment ref="C15" authorId="2" shapeId="0" xr:uid="{E445D3C1-694E-FE4C-A209-B1BB5BE285B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Gminsight has same value for Germany
</t>
      </text>
    </comment>
    <comment ref="D38" authorId="3" shapeId="0" xr:uid="{4D548646-016A-F341-957E-B1451944FBD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Oversizing or undersizing of market. Conversion factor probably off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tc={117D6BE1-6078-A44E-9140-888412EE89CE}</author>
    <author>tc={337A98BF-776A-A74E-888C-CC62E0BD7BAC}</author>
    <author>tc={DCEEDBC8-094A-8946-9943-1427340CFEC3}</author>
    <author>tc={2312FBC8-FEFE-E949-B698-D729EE6F143B}</author>
    <author>tc={A8FFEE6D-FA1C-6540-8BB9-8A4F4C9E34D4}</author>
    <author>tc={9454098B-414F-B842-B3FC-CE1B5229BA57}</author>
  </authors>
  <commentList>
    <comment ref="H30" authorId="0" shapeId="0" xr:uid="{117D6BE1-6078-A44E-9140-888412EE89C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Might lead to oversizing of the market production? Europe can supply around 70% of its sales her it has surplus (3 mio sales)</t>
      </text>
    </comment>
    <comment ref="K30" authorId="1" shapeId="0" xr:uid="{337A98BF-776A-A74E-888C-CC62E0BD7B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Based on technology perspective 2023, a 20% increase in production possible (rest of aavilable capacity)</t>
      </text>
    </comment>
    <comment ref="A35" authorId="2" shapeId="0" xr:uid="{DCEEDBC8-094A-8946-9943-1427340CFEC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Double checked with IEA 2023 p 119</t>
      </text>
    </comment>
    <comment ref="H45" authorId="3" shapeId="0" xr:uid="{2312FBC8-FEFE-E949-B698-D729EE6F143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https://www.dcceew.gov.au/sites/default/files/documents/heat-pumps-emerging-trends-in-australian-market.pdf
Antwort:
    https://www.bze.org.au/pages/heat-pumps</t>
      </text>
    </comment>
    <comment ref="G125" authorId="4" shapeId="0" xr:uid="{A8FFEE6D-FA1C-6540-8BB9-8A4F4C9E34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Currently in cooling, lets assume can use this until 2035 in Brazil
Antwort:
    Source: https://refindustry.com/news/market-news/new-midea-factory-in-brazil/</t>
      </text>
    </comment>
    <comment ref="C126" authorId="5" shapeId="0" xr:uid="{9454098B-414F-B842-B3FC-CE1B5229BA5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Doubling of capacity possible until 2030 in IEA 2024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tc={769E53F2-E798-8B4A-8F72-BB431E9EE364}</author>
  </authors>
  <commentList>
    <comment ref="F6" authorId="0" shapeId="0" xr:uid="{769E53F2-E798-8B4A-8F72-BB431E9EE364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For a 3.5 kW compressor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tc={F4585C7A-4DF7-F44D-BC8B-7F48D1AEC06E}</author>
    <author>tc={47EB0B38-314B-0B4F-8C4D-4467C3E66710}</author>
  </authors>
  <commentList>
    <comment ref="B38" authorId="0" shapeId="0" xr:uid="{F4585C7A-4DF7-F44D-BC8B-7F48D1AEC06E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Chinese labor cost around a this of the one in the USA
</t>
      </text>
    </comment>
    <comment ref="B48" authorId="1" shapeId="0" xr:uid="{47EB0B38-314B-0B4F-8C4D-4467C3E6671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By country not specified as of march 2024
Antwort:
    https://worldpopulationreview.com/country-rankings/cost-of-electricity-by-country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tc={DA2A5CBE-AAD7-A74B-BDD9-230BA55604DB}</author>
    <author>tc={E0BCECC2-E17D-2B4B-94AA-252EEB7165D1}</author>
  </authors>
  <commentList>
    <comment ref="K13" authorId="0" shapeId="0" xr:uid="{DA2A5CBE-AAD7-A74B-BDD9-230BA55604DB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Chinese labor cost around a this of the one in the USA
</t>
      </text>
    </comment>
    <comment ref="K24" authorId="1" shapeId="0" xr:uid="{E0BCECC2-E17D-2B4B-94AA-252EEB7165D1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By country not specified as of march 2024
Antwort:
    https://worldpopulationreview.com/country-rankings/cost-of-electricity-by-country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tc={38E412ED-E039-2440-84B8-F92179AC6D4D}</author>
    <author>tc={C57D673E-10D5-4143-9D7B-EB4CE5547E23}</author>
    <author>tc={6F182CF7-135F-5D41-B684-DFDD034749D1}</author>
    <author>tc={7DB742E2-8942-0948-AF59-2FB6783257A0}</author>
    <author>tc={84F5FB70-C26F-7546-8371-DAE4735EDFC9}</author>
    <author>tc={B631E6A3-966A-C04E-B621-B6CAE4D101D7}</author>
    <author>tc={CDDDE5DD-139B-6647-8DD3-53C76AA6EF7C}</author>
    <author>tc={0E189F70-079C-0D48-A90F-EC526283E52F}</author>
  </authors>
  <commentList>
    <comment ref="U23" authorId="0" shapeId="0" xr:uid="{38E412ED-E039-2440-84B8-F92179AC6D4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https://www2.deloitte.com/jp/en/pages/energy-and-resources/articles/driving-value-through-energy-management-mining.html
</t>
      </text>
    </comment>
    <comment ref="V23" authorId="1" shapeId="0" xr:uid="{C57D673E-10D5-4143-9D7B-EB4CE5547E2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https://www.iea.org/data-and-statistics/charts/average-labour-costs-and-share-in-total-coal-mining-costs-in-selected-countries-2018-2020
</t>
      </text>
    </comment>
    <comment ref="U44" authorId="2" shapeId="0" xr:uid="{6F182CF7-135F-5D41-B684-DFDD034749D1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https://www2.deloitte.com/jp/en/pages/energy-and-resources/articles/driving-value-through-energy-management-mining.html
</t>
      </text>
    </comment>
    <comment ref="V44" authorId="3" shapeId="0" xr:uid="{7DB742E2-8942-0948-AF59-2FB6783257A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https://www.iea.org/data-and-statistics/charts/average-labour-costs-and-share-in-total-coal-mining-costs-in-selected-countries-2018-2020
</t>
      </text>
    </comment>
    <comment ref="A62" authorId="4" shapeId="0" xr:uid="{84F5FB70-C26F-7546-8371-DAE4735EDFC9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considers minable iron not from scraps/ recycling
</t>
      </text>
    </comment>
    <comment ref="U62" authorId="5" shapeId="0" xr:uid="{B631E6A3-966A-C04E-B621-B6CAE4D101D7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https://miningdataonline.com/property/list.aspx?cat=0&amp;tids=1,2,5,4&amp;ssids=1,2,3&amp;fm=0&amp;yr=18&amp;rb=on&amp;vw=11
</t>
      </text>
    </comment>
    <comment ref="W62" authorId="6" shapeId="0" xr:uid="{CDDDE5DD-139B-6647-8DD3-53C76AA6EF7C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https://www.spglobal.com/marketintelligence/en/news-insights/latest-news-headlines/high-energy-prices-turn-metals-supply-chain-into-global-inflation-engine-69360838
</t>
      </text>
    </comment>
    <comment ref="X62" authorId="7" shapeId="0" xr:uid="{0E189F70-079C-0D48-A90F-EC526283E52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https://www.iea.org/data-and-statistics/charts/average-labour-costs-and-share-in-total-coal-mining-costs-in-selected-countries-2018-2020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tc={375BB4AA-9349-5B48-B498-94893223E9AC}</author>
    <author>tc={8169A07C-CFE9-C045-8C2D-66C202EE5CAE}</author>
    <author>tc={1C9A5175-849A-C341-B7D9-CBCB9DF90CD1}</author>
    <author>tc={89C8B2E0-CF71-2345-A070-A1368214B0AD}</author>
    <author>tc={6C077CC6-F4A1-8246-8FAC-56F8C62B664D}</author>
  </authors>
  <commentList>
    <comment ref="X33" authorId="0" shapeId="0" xr:uid="{375BB4AA-9349-5B48-B498-94893223E9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https://www.ewi.uni-koeln.de/cms/wp-content/uploads/2022/12/221209_EWI_H2-Steel_Low-carbon-steel.pdf
Antwort:
    Rest of the source see non resulted CPAEX ans OPEX
Antwort:
    Focus on BOF
Steel production</t>
      </text>
    </comment>
    <comment ref="AD33" authorId="1" shapeId="0" xr:uid="{8169A07C-CFE9-C045-8C2D-66C202EE5CAE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https://www.google.com/url?sa=t&amp;source=web&amp;rct=j&amp;opi=89978449&amp;url=https://publications.jrc.ec.europa.eu/repository/bitstream/JRC129297/JRC129297_01.pdf&amp;ved=2ahUKEwiesvq-6I2JAxWg2wIHHcChN1wQFnoECEEQAQ&amp;usg=AOvVaw2fK4Q1YS9OcRGHpLWYkvm6
</t>
      </text>
    </comment>
    <comment ref="C34" authorId="2" shapeId="0" xr:uid="{1C9A5175-849A-C341-B7D9-CBCB9DF90CD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Aluminium executive summary</t>
      </text>
    </comment>
    <comment ref="E34" authorId="3" shapeId="0" xr:uid="{89C8B2E0-CF71-2345-A070-A1368214B0A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Europe’s aluminium industry is amongst the least carbon-intensive in
the world: the carbon footprint of producing primary aluminium in Europe is half the global average and three times
lower than that of Chinese production, which represents 60% of total global production. ( see https://european-aluminium.eu/wp-content/uploads/2022/10/2022-05-20-european-aluminium-response-to-repowereu.pdf)
</t>
      </text>
    </comment>
    <comment ref="P34" authorId="4" shapeId="0" xr:uid="{6C077CC6-F4A1-8246-8FAC-56F8C62B664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See cost structure in https://www.sciencedirect.com/science/article/pii/S0301420716300824#bbib6</t>
      </text>
    </comment>
  </commentList>
</comments>
</file>

<file path=xl/sharedStrings.xml><?xml version="1.0" encoding="utf-8"?>
<sst xmlns="http://schemas.openxmlformats.org/spreadsheetml/2006/main" count="3273" uniqueCount="957">
  <si>
    <t xml:space="preserve">Country </t>
  </si>
  <si>
    <t>year</t>
  </si>
  <si>
    <t>installed capacity</t>
  </si>
  <si>
    <t xml:space="preserve">unit </t>
  </si>
  <si>
    <t xml:space="preserve">source </t>
  </si>
  <si>
    <t>China</t>
  </si>
  <si>
    <t>type</t>
  </si>
  <si>
    <t>units/year</t>
  </si>
  <si>
    <t>rotary compressor</t>
  </si>
  <si>
    <t>Nicholson,2019</t>
  </si>
  <si>
    <t>Thailand</t>
  </si>
  <si>
    <t>Japan</t>
  </si>
  <si>
    <t xml:space="preserve">Notes: </t>
  </si>
  <si>
    <t>specified for cooling</t>
  </si>
  <si>
    <t>Malaysie</t>
  </si>
  <si>
    <t>Czech republik</t>
  </si>
  <si>
    <t>South Korea</t>
  </si>
  <si>
    <t>United states</t>
  </si>
  <si>
    <t xml:space="preserve">India </t>
  </si>
  <si>
    <t>Brazil</t>
  </si>
  <si>
    <t>Conversion</t>
  </si>
  <si>
    <t>Table S1. Inventory data for all phases of air-source heat pump</t>
  </si>
  <si>
    <t>Manufacturing</t>
  </si>
  <si>
    <t>Component</t>
  </si>
  <si>
    <t>Material</t>
  </si>
  <si>
    <t>Weight</t>
  </si>
  <si>
    <t>Unit</t>
  </si>
  <si>
    <t>Ref</t>
  </si>
  <si>
    <t>Explanation</t>
  </si>
  <si>
    <t>Evaporator and condenser</t>
  </si>
  <si>
    <t>Low-alloyed steel</t>
  </si>
  <si>
    <t>kg</t>
  </si>
  <si>
    <t>Greening, Benjamin, and Adisa Azapagic. "Domestic heat pumps: Life cycle environmental impacts and potential implications for the UK." Energy 39, no. 1 (2012): 205-217.</t>
  </si>
  <si>
    <t>Housing and compressor</t>
  </si>
  <si>
    <t>Reinforcing steel</t>
  </si>
  <si>
    <t>Sevindik, Selman, Catalina Spataru, Teresa Domenech Aparisi, and Raimund Bleischwitz. "A comparative environmental assessment of heat pumps and gas boilers towards a circular economy in the UK." Energies 14, no. 11 (2021): 3027.</t>
  </si>
  <si>
    <t>Wiring, piping and expansion valve</t>
  </si>
  <si>
    <t>Copper</t>
  </si>
  <si>
    <t>"</t>
  </si>
  <si>
    <t>UK data</t>
  </si>
  <si>
    <t>Pipework insulation</t>
  </si>
  <si>
    <t>Elastomere</t>
  </si>
  <si>
    <t>Data for a 10 kW ASHP ?</t>
  </si>
  <si>
    <t>Wiring insulation</t>
  </si>
  <si>
    <t>Polyvinylchloride</t>
  </si>
  <si>
    <t>Lubricating oil</t>
  </si>
  <si>
    <t>Polyolester oil</t>
  </si>
  <si>
    <t>Air fan</t>
  </si>
  <si>
    <t>HDPE</t>
  </si>
  <si>
    <t>Refrigerant</t>
  </si>
  <si>
    <t>R-134a</t>
  </si>
  <si>
    <t>Losses</t>
  </si>
  <si>
    <t>3% (manufacture) &amp; 6% (operation, annually)</t>
  </si>
  <si>
    <t xml:space="preserve">Energy </t>
  </si>
  <si>
    <t>Medium-voltage electricity</t>
  </si>
  <si>
    <t>MJ</t>
  </si>
  <si>
    <t>Naumann, Gabriel, Elke Schropp, and Matthias Gaderer. "Life Cycle Assessment of an Air-Source Heat Pump and a Condensing Gas Boiler Using an Attributional and a Consequential Approach." Procedia CIRP 105 (2022): 351-356.</t>
  </si>
  <si>
    <t>Data for a 5 kW ASHP ?</t>
  </si>
  <si>
    <t>Heat</t>
  </si>
  <si>
    <t>Assembly &amp; Installation</t>
  </si>
  <si>
    <t>Process</t>
  </si>
  <si>
    <t>Energy</t>
  </si>
  <si>
    <t>Assembly</t>
  </si>
  <si>
    <t>Medium-voltage electricity (European mix)</t>
  </si>
  <si>
    <t>Natural gas</t>
  </si>
  <si>
    <t>O &amp; M</t>
  </si>
  <si>
    <t>Process/Item</t>
  </si>
  <si>
    <t>UK electricity</t>
  </si>
  <si>
    <t>kWh/kWh heat generated</t>
  </si>
  <si>
    <t>kg (annually)</t>
  </si>
  <si>
    <t>(shamoushaki 2023)</t>
  </si>
  <si>
    <t>Conversion of compressor prodcution</t>
  </si>
  <si>
    <t>Material type</t>
  </si>
  <si>
    <t>(kg)</t>
  </si>
  <si>
    <t>Ratio</t>
  </si>
  <si>
    <t>(%)</t>
  </si>
  <si>
    <t>Cast iron</t>
  </si>
  <si>
    <t xml:space="preserve">Cylinder, shaft, rotor </t>
  </si>
  <si>
    <t>Steel sheet</t>
  </si>
  <si>
    <t>upper / lower housing, Accumulator</t>
  </si>
  <si>
    <t>High grade steel</t>
  </si>
  <si>
    <t>Rolling piston</t>
  </si>
  <si>
    <t>Sintering steel</t>
  </si>
  <si>
    <t>Upper / lower bearing</t>
  </si>
  <si>
    <t>Silicon steel</t>
  </si>
  <si>
    <t>Stator, rotor</t>
  </si>
  <si>
    <t xml:space="preserve">Copper </t>
  </si>
  <si>
    <t>Copper wire</t>
  </si>
  <si>
    <t>copper tube</t>
  </si>
  <si>
    <t>Aluminum ingot</t>
  </si>
  <si>
    <t>Rotor core</t>
  </si>
  <si>
    <t>HCFC-22 (R22)</t>
  </si>
  <si>
    <t>Mineral oil</t>
  </si>
  <si>
    <t>Lubricant oil</t>
  </si>
  <si>
    <t xml:space="preserve">Paint </t>
  </si>
  <si>
    <t>Compressor coating</t>
  </si>
  <si>
    <t>Total</t>
  </si>
  <si>
    <t>Source: Rewlay-ngoen, 2020</t>
  </si>
  <si>
    <t xml:space="preserve">Steel total </t>
  </si>
  <si>
    <t xml:space="preserve">Copper total </t>
  </si>
  <si>
    <t>kg Steel/kg compressor</t>
  </si>
  <si>
    <t>kg Copper/kg compressor</t>
  </si>
  <si>
    <t>y</t>
  </si>
  <si>
    <t>1-3 y</t>
  </si>
  <si>
    <t>Source: https://www.iea.org/energy-system/buildings/heat-pumps#tracking</t>
  </si>
  <si>
    <t xml:space="preserve">Australia </t>
  </si>
  <si>
    <t>Bauxite</t>
  </si>
  <si>
    <t>United States</t>
  </si>
  <si>
    <t xml:space="preserve">Brazil </t>
  </si>
  <si>
    <t>Canada</t>
  </si>
  <si>
    <t>Germany</t>
  </si>
  <si>
    <t>Guinea</t>
  </si>
  <si>
    <t>India</t>
  </si>
  <si>
    <t>Indonesia</t>
  </si>
  <si>
    <t>Ireland</t>
  </si>
  <si>
    <t xml:space="preserve">Jamaica </t>
  </si>
  <si>
    <t xml:space="preserve">Kazakhstan </t>
  </si>
  <si>
    <t>Russia</t>
  </si>
  <si>
    <t>Saudi Arabia</t>
  </si>
  <si>
    <t>Spain</t>
  </si>
  <si>
    <t xml:space="preserve">Ukraine </t>
  </si>
  <si>
    <t xml:space="preserve">Vietnam </t>
  </si>
  <si>
    <t>Production</t>
  </si>
  <si>
    <t>Reserve</t>
  </si>
  <si>
    <t>t</t>
  </si>
  <si>
    <t>Input</t>
  </si>
  <si>
    <t xml:space="preserve">Bauxite </t>
  </si>
  <si>
    <t>Output</t>
  </si>
  <si>
    <t>Aluminium</t>
  </si>
  <si>
    <t>Source</t>
  </si>
  <si>
    <t xml:space="preserve">USGS, 2023 </t>
  </si>
  <si>
    <t>USGS, 2023</t>
  </si>
  <si>
    <t>Australia</t>
  </si>
  <si>
    <t>Jamaica</t>
  </si>
  <si>
    <t>Kazakhstan</t>
  </si>
  <si>
    <t>Ukraine</t>
  </si>
  <si>
    <t>United Arab Emirates</t>
  </si>
  <si>
    <t>Vietnam</t>
  </si>
  <si>
    <t>kt</t>
  </si>
  <si>
    <t>Country</t>
  </si>
  <si>
    <t>production</t>
  </si>
  <si>
    <t>unit</t>
  </si>
  <si>
    <t>source</t>
  </si>
  <si>
    <t>USGS 2023</t>
  </si>
  <si>
    <t>Chile</t>
  </si>
  <si>
    <t>Congo (Kinshasa)</t>
  </si>
  <si>
    <t>Korea, Republic of</t>
  </si>
  <si>
    <t>Mexico</t>
  </si>
  <si>
    <t>Peru</t>
  </si>
  <si>
    <t>Poland</t>
  </si>
  <si>
    <t>Zambia</t>
  </si>
  <si>
    <t>Note</t>
  </si>
  <si>
    <t xml:space="preserve">recoverable copper content </t>
  </si>
  <si>
    <t xml:space="preserve">Copper Ore </t>
  </si>
  <si>
    <t xml:space="preserve">6 to 10 </t>
  </si>
  <si>
    <t xml:space="preserve">if data fro USGS is used 1 to 1 conversion factor as recoverable copper content in mining </t>
  </si>
  <si>
    <t>https://worldoceanreview.com/en/wor-3/mineral-resources/deposits-and-markets/how-much-metal-does-the-ore-contain/#:~:text=In%20most%20cases%20copper%20ores,to%2010%20kilograms%20of%20copper.</t>
  </si>
  <si>
    <t>Nickel</t>
  </si>
  <si>
    <t>New Caledonia</t>
  </si>
  <si>
    <t>Philippines</t>
  </si>
  <si>
    <t>Other countries</t>
  </si>
  <si>
    <t>World total (rounded)</t>
  </si>
  <si>
    <t>Mine production - nickel, metric tons contained</t>
  </si>
  <si>
    <t>Iron ore</t>
  </si>
  <si>
    <t>Iran</t>
  </si>
  <si>
    <t>Mauritania</t>
  </si>
  <si>
    <t>South Africa</t>
  </si>
  <si>
    <t>Sweden</t>
  </si>
  <si>
    <t>Turkey</t>
  </si>
  <si>
    <t>NA</t>
  </si>
  <si>
    <t>Production iron content</t>
  </si>
  <si>
    <t xml:space="preserve">Production usable ore </t>
  </si>
  <si>
    <t xml:space="preserve">Unit </t>
  </si>
  <si>
    <t>Reserves usable ore</t>
  </si>
  <si>
    <t>Reserves iron content</t>
  </si>
  <si>
    <t>Mt</t>
  </si>
  <si>
    <t>Year</t>
  </si>
  <si>
    <t>Italy</t>
  </si>
  <si>
    <t>Taiwan</t>
  </si>
  <si>
    <t>Steel</t>
  </si>
  <si>
    <t>Raw Steel</t>
  </si>
  <si>
    <t>https://www.bhp.com/what-we-do/products/iron-ore#</t>
  </si>
  <si>
    <t>Capacity installed</t>
  </si>
  <si>
    <t>US</t>
  </si>
  <si>
    <t>Europe</t>
  </si>
  <si>
    <t>GW</t>
  </si>
  <si>
    <t>IEA, https://www.iea.org/data-and-statistics/charts/heat-pump-manufacturing-capacity-per-region-2022</t>
  </si>
  <si>
    <t>IEA, https://www.iea.org/data-and-statistics/charts/heat-pump-manufacturing-capacity-per-region-2023</t>
  </si>
  <si>
    <t>IEA, https://www.iea.org/data-and-statistics/charts/heat-pump-manufacturing-capacity-per-region-2024</t>
  </si>
  <si>
    <t>IEA, https://www.iea.org/data-and-statistics/charts/heat-pump-manufacturing-capacity-per-region-2025</t>
  </si>
  <si>
    <t>IEA, https://www.iea.org/data-and-statistics/charts/heat-pump-manufacturing-capacity-per-region-2026</t>
  </si>
  <si>
    <t xml:space="preserve">Austria </t>
  </si>
  <si>
    <t xml:space="preserve">Belgium </t>
  </si>
  <si>
    <t xml:space="preserve">Czechia </t>
  </si>
  <si>
    <t xml:space="preserve">Denmark </t>
  </si>
  <si>
    <t xml:space="preserve">Finland </t>
  </si>
  <si>
    <t xml:space="preserve">France </t>
  </si>
  <si>
    <t xml:space="preserve">Germany </t>
  </si>
  <si>
    <t xml:space="preserve">Italy </t>
  </si>
  <si>
    <t xml:space="preserve">Netherlands </t>
  </si>
  <si>
    <t xml:space="preserve">Norway </t>
  </si>
  <si>
    <t xml:space="preserve">Poland </t>
  </si>
  <si>
    <t xml:space="preserve">Portugal </t>
  </si>
  <si>
    <t xml:space="preserve">Sweden*** </t>
  </si>
  <si>
    <t xml:space="preserve">Switzerland </t>
  </si>
  <si>
    <t xml:space="preserve">Spain </t>
  </si>
  <si>
    <t xml:space="preserve">UK**** </t>
  </si>
  <si>
    <t xml:space="preserve">Sales of heating heat pumps 2022 </t>
  </si>
  <si>
    <t xml:space="preserve">Growth in sales 2021 to 2022 (% of additional heat pumps units sold) </t>
  </si>
  <si>
    <t xml:space="preserve">Growth in sales 2021 to 2022 (no. of additional heat pumps units sold) </t>
  </si>
  <si>
    <t xml:space="preserve">Source </t>
  </si>
  <si>
    <t>EHPA, 2023</t>
  </si>
  <si>
    <t>https://www.ehpa.org/wp-content/uploads/2023/06/Heat-Pump-Key-Facts-May-2023_compressed.pdf</t>
  </si>
  <si>
    <t xml:space="preserve">Europe </t>
  </si>
  <si>
    <t>USA</t>
  </si>
  <si>
    <t>200-250</t>
  </si>
  <si>
    <t>100-125</t>
  </si>
  <si>
    <t>€/Kw</t>
  </si>
  <si>
    <t>Advancing clean energy manufacturing, IEA 2023</t>
  </si>
  <si>
    <t>Advancing clean energy manufacturing, IEA 2024</t>
  </si>
  <si>
    <t>Advancing clean energy manufacturing, IEA 2025</t>
  </si>
  <si>
    <t xml:space="preserve"> </t>
  </si>
  <si>
    <t>France</t>
  </si>
  <si>
    <t>Slovakia</t>
  </si>
  <si>
    <t>Netherlands</t>
  </si>
  <si>
    <t>Portugal</t>
  </si>
  <si>
    <t>Czech</t>
  </si>
  <si>
    <t>CAPEX (total) (Mio. €)</t>
  </si>
  <si>
    <t>OPEX (Mio. €/ 1000units)</t>
  </si>
  <si>
    <t>Planned Capacity expansion</t>
  </si>
  <si>
    <t>Lyons 2023, p. 34</t>
  </si>
  <si>
    <t>Production  installment duration</t>
  </si>
  <si>
    <t>Region</t>
  </si>
  <si>
    <t>Technology</t>
  </si>
  <si>
    <t>Scenario</t>
  </si>
  <si>
    <t>EU</t>
  </si>
  <si>
    <t>Heat pumps</t>
  </si>
  <si>
    <t>Cu</t>
  </si>
  <si>
    <t>LDS</t>
  </si>
  <si>
    <t>t/yr</t>
  </si>
  <si>
    <t>HDS</t>
  </si>
  <si>
    <t>Plastic</t>
  </si>
  <si>
    <t>World</t>
  </si>
  <si>
    <t>Compressor Production Value</t>
  </si>
  <si>
    <t xml:space="preserve">Slovakia </t>
  </si>
  <si>
    <t xml:space="preserve">Hungary </t>
  </si>
  <si>
    <t>Itlay</t>
  </si>
  <si>
    <t>€</t>
  </si>
  <si>
    <t>ENEL, 2023</t>
  </si>
  <si>
    <t>ENEL, 2024</t>
  </si>
  <si>
    <t>ENEL, 2025</t>
  </si>
  <si>
    <t>ENEL, 2026</t>
  </si>
  <si>
    <t>ENEL, 2027</t>
  </si>
  <si>
    <t>ENEL, 2028</t>
  </si>
  <si>
    <t>Source Carrara et al. 2024</t>
  </si>
  <si>
    <t>Source Carrara et al. 2025</t>
  </si>
  <si>
    <t>Source Carrara et al. 2026</t>
  </si>
  <si>
    <t>Source Carrara et al. 2027</t>
  </si>
  <si>
    <t>Source Carrara et al. 2028</t>
  </si>
  <si>
    <t>Source Carrara et al. 2029</t>
  </si>
  <si>
    <t>Source Carrara et al. 2030</t>
  </si>
  <si>
    <t>Source Carrara et al. 2031</t>
  </si>
  <si>
    <t>Source Carrara et al. 2032</t>
  </si>
  <si>
    <t>Source Carrara et al. 2033</t>
  </si>
  <si>
    <t>Source Carrara et al. 2034</t>
  </si>
  <si>
    <t>Source Carrara et al. 2035</t>
  </si>
  <si>
    <t>Source Carrara et al. 2036</t>
  </si>
  <si>
    <t>Source Carrara et al. 2037</t>
  </si>
  <si>
    <t>Source Carrara et al. 2038</t>
  </si>
  <si>
    <t>Source Carrara et al. 2039</t>
  </si>
  <si>
    <t>Source Carrara et al. 2040</t>
  </si>
  <si>
    <t>Source Carrara et al. 2041</t>
  </si>
  <si>
    <t>Source Carrara et al. 2042</t>
  </si>
  <si>
    <t>Source Carrara et al. 2043</t>
  </si>
  <si>
    <t>Source Carrara et al. 2044</t>
  </si>
  <si>
    <t>Source Carrara et al. 2045</t>
  </si>
  <si>
    <t>Source Carrara et al. 2046</t>
  </si>
  <si>
    <t>Source Carrara et al. 2047</t>
  </si>
  <si>
    <t>Currently installed production</t>
  </si>
  <si>
    <t xml:space="preserve">Jobs </t>
  </si>
  <si>
    <t xml:space="preserve">Type </t>
  </si>
  <si>
    <t xml:space="preserve">Year </t>
  </si>
  <si>
    <t xml:space="preserve">heat pump manufacturing </t>
  </si>
  <si>
    <t xml:space="preserve">component manufacturing </t>
  </si>
  <si>
    <t>EHPA 2022</t>
  </si>
  <si>
    <t>mio. €</t>
  </si>
  <si>
    <t xml:space="preserve">Sweden </t>
  </si>
  <si>
    <t>additional 1000 units</t>
  </si>
  <si>
    <t>Lyons 2023, p. 35</t>
  </si>
  <si>
    <t>Lyons 2023, p. 36</t>
  </si>
  <si>
    <t>Lyons 2023, p. 37</t>
  </si>
  <si>
    <t>Lyons 2023, p. 38</t>
  </si>
  <si>
    <t>Lyons 2023, p. 39</t>
  </si>
  <si>
    <t>Lyons 2023, p. 40</t>
  </si>
  <si>
    <t>Lyons 2023, p. 41</t>
  </si>
  <si>
    <t>Lyons 2023, p. 42</t>
  </si>
  <si>
    <t>Lyons 2023, p. 43</t>
  </si>
  <si>
    <t>other values</t>
  </si>
  <si>
    <t>250 000</t>
  </si>
  <si>
    <t>https://www.dashboard-deutschland.de/indicator/tile_1663667563512?origin=dashboard&amp;db=energie&amp;category=energie</t>
  </si>
  <si>
    <t>26 954</t>
  </si>
  <si>
    <t xml:space="preserve">units </t>
  </si>
  <si>
    <t>https://nachhaltigwirtschaften.at/resources/nw_pdf/events/20240619-energiewende-marktstatistik/schriftenreihe-2024-17i-Waermepumpen.pdf</t>
  </si>
  <si>
    <t xml:space="preserve">Japan </t>
  </si>
  <si>
    <t>https://heatpumpingtechnologies.org/wp-content/uploads/2023/03/mcr-iea-hpt-presentation-japan-20230314.pdf</t>
  </si>
  <si>
    <t>Sales/value</t>
  </si>
  <si>
    <t>units</t>
  </si>
  <si>
    <t xml:space="preserve">USD, value </t>
  </si>
  <si>
    <t>https://heatpumpingtechnologies.org/wp-content/uploads/2022/08/iea-hpt-tcp-member-country-report-korea-2022minsung-kim.pdf</t>
  </si>
  <si>
    <t>Notes</t>
  </si>
  <si>
    <t>https://heatpumpingtechnologies.org/wp-content/uploads/2023/06/us-country-report-2023.pdf</t>
  </si>
  <si>
    <t>https://www.iea.org/reports/the-future-of-heat-pumps-in-china/executive-summary</t>
  </si>
  <si>
    <t xml:space="preserve">Planned Investment </t>
  </si>
  <si>
    <t>CAGR</t>
  </si>
  <si>
    <t>https://iifiir.org/en/news/main-figures-for-the-australian-heat-pump-market#:~:text=Single%20split%20system%20sales%20were,commercial%20heat%20pumps%20is%20small.</t>
  </si>
  <si>
    <t xml:space="preserve">Refrigerant type </t>
  </si>
  <si>
    <t xml:space="preserve">GWP </t>
  </si>
  <si>
    <t xml:space="preserve">import limit </t>
  </si>
  <si>
    <t xml:space="preserve">notes </t>
  </si>
  <si>
    <t>HFC-134a</t>
  </si>
  <si>
    <t>kgCo2-eq /kg</t>
  </si>
  <si>
    <t>https://eur-lex.europa.eu/legal-content/EN/TXT/?uri=uriserv:OJ.L_.2014.150.01.0195.01.ENG</t>
  </si>
  <si>
    <t>R410A</t>
  </si>
  <si>
    <t>https://www.infraserv.com/de/leistungen/facility-management/expertenwissen/f-gase/kaeltemittel/spezifische-kaeltemittel/r-410a.html</t>
  </si>
  <si>
    <t>R 32</t>
  </si>
  <si>
    <t>R 290</t>
  </si>
  <si>
    <t xml:space="preserve">Capacity </t>
  </si>
  <si>
    <t xml:space="preserve">Units </t>
  </si>
  <si>
    <t xml:space="preserve">type </t>
  </si>
  <si>
    <t xml:space="preserve">year </t>
  </si>
  <si>
    <t xml:space="preserve">China </t>
  </si>
  <si>
    <t>HFC</t>
  </si>
  <si>
    <t>https://chineseclimatepolicy.oxfordenergy.org/book-content/domestic-policies/hfcs/#:~:text=Capacity%20utilization%20in%20the%20Chinese,actual%20production%20of%20811%2C000%20tonnes.</t>
  </si>
  <si>
    <t>note</t>
  </si>
  <si>
    <t>global share 70%</t>
  </si>
  <si>
    <t>global phase ot of HFC ubntil 2030 (montreal protocol), he phase-down is being managed through an annual import quota that will gradually reduce over 18 years. The end point of the phase-down, 15% of the baseline level, will be reached on 1 January 2036.</t>
  </si>
  <si>
    <t>https://www.epa.gov/climate-hfcs-reduction/2022-hfc-data-hub/expanded-hfc-data#2022%20Calc%20Prod</t>
  </si>
  <si>
    <t>2022 Calculated HFC Production</t>
  </si>
  <si>
    <t>Chemical</t>
  </si>
  <si>
    <t>Total Production (MT)</t>
  </si>
  <si>
    <t>Production for Feedstock (MT)</t>
  </si>
  <si>
    <t>Destruction (MT)</t>
  </si>
  <si>
    <t>Calculated Production (MT)</t>
  </si>
  <si>
    <t>HFC-32</t>
  </si>
  <si>
    <t>HFC-41</t>
  </si>
  <si>
    <t>HFC-125</t>
  </si>
  <si>
    <t>HFC-134</t>
  </si>
  <si>
    <t>HFC-143a</t>
  </si>
  <si>
    <t>HFC-152a</t>
  </si>
  <si>
    <t>HFC-227ea</t>
  </si>
  <si>
    <t>HFC-236ea</t>
  </si>
  <si>
    <t>HFC-245fa</t>
  </si>
  <si>
    <t>HFC-23</t>
  </si>
  <si>
    <t>Data current as of:</t>
  </si>
  <si>
    <t xml:space="preserve">USA: </t>
  </si>
  <si>
    <r>
      <t>Calculated Production (MTCO</t>
    </r>
    <r>
      <rPr>
        <b/>
        <vertAlign val="subscript"/>
        <sz val="10"/>
        <color rgb="FF000000"/>
        <rFont val="Calibri"/>
        <family val="2"/>
      </rPr>
      <t>2</t>
    </r>
    <r>
      <rPr>
        <b/>
        <sz val="10"/>
        <color rgb="FF000000"/>
        <rFont val="Calibri"/>
        <family val="2"/>
      </rPr>
      <t>e)</t>
    </r>
  </si>
  <si>
    <t>Global Overview of HCFC, HFC, and HFO/HCFO Production, 2022</t>
  </si>
  <si>
    <t>Global Overview of HCFC, HFC, and HFO/HCFO Production, 2023</t>
  </si>
  <si>
    <t>Global Overview of HCFC, HFC, and HFO/HCFO Production, 2024</t>
  </si>
  <si>
    <t>MT CO2-eq</t>
  </si>
  <si>
    <t xml:space="preserve">converison rat </t>
  </si>
  <si>
    <t xml:space="preserve">converted to t </t>
  </si>
  <si>
    <t>https://ozone.unep.org/countries/profile/kor</t>
  </si>
  <si>
    <t>https://ozone.unep.org/countries/profile/aus</t>
  </si>
  <si>
    <t>negative production???</t>
  </si>
  <si>
    <t>https://ozone.unep.org/countries/profile/ita</t>
  </si>
  <si>
    <t xml:space="preserve">Czech Republic </t>
  </si>
  <si>
    <t>https://ozone.unep.org/countries/profile/cze</t>
  </si>
  <si>
    <t>Austria</t>
  </si>
  <si>
    <t>https://ozone.unep.org/countries/profile/aut</t>
  </si>
  <si>
    <t>CO2</t>
  </si>
  <si>
    <t>Propane</t>
  </si>
  <si>
    <t>Market value</t>
  </si>
  <si>
    <t>Mio. €</t>
  </si>
  <si>
    <t>https://www.gminsights.com/industry-analysis/europe-heat-pump-brazed-plate-heat-exchangers-market</t>
  </si>
  <si>
    <t>https://www.heatpumps.london/blog/everything-you-need-to-know-about-heat-pumps</t>
  </si>
  <si>
    <t>https://www.cbi.eu/sites/default/files/market-information/product-factsheet-europe-heat-exchangers-2016.pdf</t>
  </si>
  <si>
    <t>used share to estimate HP value in country</t>
  </si>
  <si>
    <t>estimate</t>
  </si>
  <si>
    <t>https://www.nextmsc.com/report/china-heat-exchangers-market</t>
  </si>
  <si>
    <t>aound 30% of HX industry are in petroleum and chemical industry source: https://heat-exchanger-world.com/featured-story-the-fast-growing-heat-exchanger-market-in-china/)</t>
  </si>
  <si>
    <t>Sales in ASHP</t>
  </si>
  <si>
    <t>Sales in GSHP</t>
  </si>
  <si>
    <t>https://iea.blob.core.windows.net/assets/217e820f-3344-4144-9d2c-cc444e080421/FutureofHeatpumpsinChina.pdf</t>
  </si>
  <si>
    <t>8% capacity growth in 2022</t>
  </si>
  <si>
    <t>Projected Value in 2030</t>
  </si>
  <si>
    <t xml:space="preserve">Pojected sales in 2050 </t>
  </si>
  <si>
    <t>Capacity estimated 2030</t>
  </si>
  <si>
    <t>20 for Air-Air GW and 30 air to water (IEA; china heat pumps)</t>
  </si>
  <si>
    <t>Global</t>
  </si>
  <si>
    <t>in HP supply chain</t>
  </si>
  <si>
    <t>IEA, Outlook Heat pump china</t>
  </si>
  <si>
    <t>Projected workforce 2030</t>
  </si>
  <si>
    <t xml:space="preserve">Manufacturing </t>
  </si>
  <si>
    <t xml:space="preserve">extra workers in the sector </t>
  </si>
  <si>
    <t xml:space="preserve">IEA, HP in China </t>
  </si>
  <si>
    <t>https://www.dcceew.gov.au/sites/default/files/documents/heat-pumps-emerging-trends-in-australian-market.pdf</t>
  </si>
  <si>
    <t>Mio. USD</t>
  </si>
  <si>
    <t>https://www.nextmsc.com/news/australia-heat-exchangers-market</t>
  </si>
  <si>
    <t>CAPEX for heat pump facilites</t>
  </si>
  <si>
    <t>€/kW</t>
  </si>
  <si>
    <t>IEA clean technology outlook 2023</t>
  </si>
  <si>
    <t>IEA clean technology outlook 2024</t>
  </si>
  <si>
    <t>IEA clean technology outlook 2025</t>
  </si>
  <si>
    <t>energy</t>
  </si>
  <si>
    <t xml:space="preserve">material </t>
  </si>
  <si>
    <t xml:space="preserve">17% groth rate necessary to meet demand </t>
  </si>
  <si>
    <t>https://www.ehpa.org/wp-content/uploads/2024/07/EHPA-Competitiveness-of-the-heat-pump-sector-in-Europe-Report.pdf</t>
  </si>
  <si>
    <t>http://www.chinaiol.com/download/Global%20Heat%20Pump%20Market%20Report%202024.pdf</t>
  </si>
  <si>
    <t xml:space="preserve">sales volume </t>
  </si>
  <si>
    <t>Increased sales volume 2021-2023</t>
  </si>
  <si>
    <t>value fopr brazed plate heat exchanger in HP used in AC</t>
  </si>
  <si>
    <t>https://mcusercontent.com/8dbf465d9a5cfe9f310f1464e/files/aefa3988-2475-e868-fb82-c5a0af13dbaa/EU_Hydronic_Heat_Pump_Manufacturing_Market_Assessment_Technical_Report.pdf</t>
  </si>
  <si>
    <t>global</t>
  </si>
  <si>
    <t xml:space="preserve">lbaor prodoctivity </t>
  </si>
  <si>
    <t>OPEX Cost  in Countrx</t>
  </si>
  <si>
    <t xml:space="preserve">Source: energy </t>
  </si>
  <si>
    <t>source labour</t>
  </si>
  <si>
    <t xml:space="preserve">source material </t>
  </si>
  <si>
    <t>USD/h</t>
  </si>
  <si>
    <t>https://www.conference-board.org/ilcprogram/index.cfm?id=38269</t>
  </si>
  <si>
    <t xml:space="preserve">Czech republic </t>
  </si>
  <si>
    <t xml:space="preserve">Austrlia </t>
  </si>
  <si>
    <t xml:space="preserve">South Korea </t>
  </si>
  <si>
    <t>labour (hourly compensation cost)</t>
  </si>
  <si>
    <t xml:space="preserve">RMB </t>
  </si>
  <si>
    <t>world total</t>
  </si>
  <si>
    <t>UGS, 2021</t>
  </si>
  <si>
    <t>USGS 2021</t>
  </si>
  <si>
    <t>USGS, 2021</t>
  </si>
  <si>
    <t>USGs 2021</t>
  </si>
  <si>
    <t>czechia</t>
  </si>
  <si>
    <t>USGS 2022</t>
  </si>
  <si>
    <t xml:space="preserve">czechia </t>
  </si>
  <si>
    <t xml:space="preserve">NA </t>
  </si>
  <si>
    <t>germany</t>
  </si>
  <si>
    <t>italy</t>
  </si>
  <si>
    <t>europe total</t>
  </si>
  <si>
    <t xml:space="preserve">Europe tot </t>
  </si>
  <si>
    <t>europe</t>
  </si>
  <si>
    <t>USGS,2019</t>
  </si>
  <si>
    <t>USGS 2019</t>
  </si>
  <si>
    <t xml:space="preserve">Nickel </t>
  </si>
  <si>
    <t>south korea</t>
  </si>
  <si>
    <t>south korwa</t>
  </si>
  <si>
    <t>USGS,2021</t>
  </si>
  <si>
    <t>USGS, 2019</t>
  </si>
  <si>
    <t>brazil</t>
  </si>
  <si>
    <t>RoE</t>
  </si>
  <si>
    <t>ROW</t>
  </si>
  <si>
    <t>Reserves</t>
  </si>
  <si>
    <t xml:space="preserve">Carbon Footprint </t>
  </si>
  <si>
    <t xml:space="preserve">copper ore </t>
  </si>
  <si>
    <t xml:space="preserve">t CO2 / t Cu </t>
  </si>
  <si>
    <t>https://www.sciencedirect.com/science/article/pii/S2352550922003037</t>
  </si>
  <si>
    <t>Carbon Footprinz</t>
  </si>
  <si>
    <t xml:space="preserve">RoE </t>
  </si>
  <si>
    <t xml:space="preserve">RoW </t>
  </si>
  <si>
    <t>Carbon footprint</t>
  </si>
  <si>
    <t xml:space="preserve">Raw Steel </t>
  </si>
  <si>
    <t>Carbon footprint t/t cu</t>
  </si>
  <si>
    <t xml:space="preserve">Iron  ore </t>
  </si>
  <si>
    <t>https://www.sciencedirect.com/science/article/pii/S0921344922001859#:~:text=According%20to%20our%20calculation%2C%20from,carbon%20emissions%20in%20those%20years.</t>
  </si>
  <si>
    <t>CAPEX</t>
  </si>
  <si>
    <t>EUR/t Cu</t>
  </si>
  <si>
    <t>https://internationalcopper.org/wp-content/uploads/2023/03/Copper_The-Pathway-to-Net-Zero_Focus-on-Europe_final.pdf</t>
  </si>
  <si>
    <t xml:space="preserve">OPEX </t>
  </si>
  <si>
    <t>Eur/t</t>
  </si>
  <si>
    <t>Source carbon footprint</t>
  </si>
  <si>
    <t xml:space="preserve">CO2 - reduction scneario </t>
  </si>
  <si>
    <t>30-40%</t>
  </si>
  <si>
    <t>Copper emissions reudction</t>
  </si>
  <si>
    <t>90 - 97$%</t>
  </si>
  <si>
    <t>https://internationalcopper.org/wp-content/uploads/2023/02/ICA-GlobalDecarbonization-202301-Final-singlepgs.pdf</t>
  </si>
  <si>
    <t>USD/t</t>
  </si>
  <si>
    <t>https://internationalcopper.org/wp-content/uploads/2023/04/20230419-Pathway-to-Net-Zero-LatAm-ENGLISH.pdf</t>
  </si>
  <si>
    <t>Supply 2050</t>
  </si>
  <si>
    <t xml:space="preserve">Mio. t  Cu </t>
  </si>
  <si>
    <t>https://static1.squarespace.com/static/5877e86f9de4bb8bce72105c/t/624d11ab5a37a4341fd85a6e/1649217981897/Aluminum+benchmarking+report-+Feb2022+rev2.pdf</t>
  </si>
  <si>
    <t>https://www3.weforum.org/docs/WEF_Decarbonizing_Brazil’s_Steel_Aluminium_and_Aviation_Sectors_2024.pdf</t>
  </si>
  <si>
    <t xml:space="preserve">south kora </t>
  </si>
  <si>
    <t>https://enplusgroup.com/upload/iblock/5b8/Toward-Zero-Carbon-for-Korean-industry-_-ENG.pdf</t>
  </si>
  <si>
    <t>https://www.enplusgroup.com/en/media/news/press/low-carbon-aluminium-a-key-ingredient-to-deliver-japan-s-green-growth-strategy/</t>
  </si>
  <si>
    <t>https://www.sciencedirect.com/science/article/pii/S0921344916301458#:~:text=The%20results%20of%20our%20analysis,the%20U.S.%20One%20of%20the</t>
  </si>
  <si>
    <t>https://www.google.com/url?sa=t&amp;source=web&amp;rct=j&amp;opi=89978449&amp;url=https://publications.jrc.ec.europa.eu/repository/bitstream/JRC129297/JRC129297_01.pdf&amp;ved=2ahUKEwiesvq-6I2JAxWg2wIHHcChN1wQFnoECEEQAQ&amp;usg=AOvVaw2fK4Q1YS9OcRGHpLWYkvm6</t>
  </si>
  <si>
    <t>https://www.statista.com/statistics/1446826/steel-emissions-intensity-worldwide/</t>
  </si>
  <si>
    <t>https://meg.resourcesregulator.nsw.gov.au/sites/default/files/2022-11/report-reduction-of-ghg-emissions-in-steel-industries.pdf</t>
  </si>
  <si>
    <t>https://globalenergymonitor.org/report/forging-a-sustainable-future-brazils-opportunity-to-lead-in-steel-decarbonization/#:~:text=From%20an%20emissions%20perspective%2C%20if,tonne%20crude%20steel%20global%20average.</t>
  </si>
  <si>
    <t>https://netzerosteel.org/wp-content/uploads/factsheets/south_korea_summary_profile_netzerosteel_project.pdf</t>
  </si>
  <si>
    <t>https://www.climate-transparency.org/wp-content/uploads/2019/11/B2G_2019_Italy.pdf</t>
  </si>
  <si>
    <t>https://worldsteel.org/data/world-steel-in-figures-2024/</t>
  </si>
  <si>
    <t>japan</t>
  </si>
  <si>
    <t>kg Co2 /kg Ni</t>
  </si>
  <si>
    <t>https://www.iea.org/data-and-statistics/charts/average-ghg-emissions-intensity-for-production-of-selected-commodities</t>
  </si>
  <si>
    <t>https://www.sciencedirect.com/science/article/pii/S0301420721004414</t>
  </si>
  <si>
    <t>RoE and central eurasia</t>
  </si>
  <si>
    <t>USGS</t>
  </si>
  <si>
    <t>Destination_Label</t>
  </si>
  <si>
    <t>2021_Transport_cost_intensity_in_US_per_tonkm_Value</t>
  </si>
  <si>
    <t>Czechia</t>
  </si>
  <si>
    <t xml:space="preserve">Source: </t>
  </si>
  <si>
    <t>https://unctadstat.unctad.org/datacentre/dataviewer/US.TransportCosts</t>
  </si>
  <si>
    <t>United States of America</t>
  </si>
  <si>
    <t>Electrical machinery and equipment and parts thereof; sound recorders and reproducers; television image and sound recorders and reproducers, parts and accessories of such articles</t>
  </si>
  <si>
    <t>Copper ores and concentrates</t>
  </si>
  <si>
    <t>Copper and articles thereof</t>
  </si>
  <si>
    <t>Iron ores and concentrates; including roasted iron pyrites</t>
  </si>
  <si>
    <t xml:space="preserve">Prices per material </t>
  </si>
  <si>
    <t xml:space="preserve">Steel </t>
  </si>
  <si>
    <t>USD/kW</t>
  </si>
  <si>
    <t>Enel 2023</t>
  </si>
  <si>
    <t>Enel 2024</t>
  </si>
  <si>
    <t>Enel 2025</t>
  </si>
  <si>
    <t>Enel 2026</t>
  </si>
  <si>
    <t xml:space="preserve">Notes </t>
  </si>
  <si>
    <t xml:space="preserve">use this is cost carriers </t>
  </si>
  <si>
    <t xml:space="preserve">Cost per carrier </t>
  </si>
  <si>
    <t>Total for secondary material s</t>
  </si>
  <si>
    <t>refrigerant</t>
  </si>
  <si>
    <t>22 - 108</t>
  </si>
  <si>
    <t>€ / kg ??</t>
  </si>
  <si>
    <t>IEA, Technology Perspective 2023</t>
  </si>
  <si>
    <t>time until new mine openinng</t>
  </si>
  <si>
    <t>Bio USD</t>
  </si>
  <si>
    <t>Global Copper investemnt</t>
  </si>
  <si>
    <t xml:space="preserve">Global nickel investment </t>
  </si>
  <si>
    <t>needed investemnt for NZE scenario until 2030</t>
  </si>
  <si>
    <t>needed investemnt for NZE scenario until 2031</t>
  </si>
  <si>
    <t>Technology perpsective, 2023</t>
  </si>
  <si>
    <t>Technology perpsective, 2024</t>
  </si>
  <si>
    <t xml:space="preserve">Anticipated investemnt </t>
  </si>
  <si>
    <t xml:space="preserve">180 - 220 </t>
  </si>
  <si>
    <t>Technology perpsective, 2025</t>
  </si>
  <si>
    <t>70 - 160</t>
  </si>
  <si>
    <t>pf which is in China</t>
  </si>
  <si>
    <t>Technology perpsective, 2026</t>
  </si>
  <si>
    <t>node</t>
  </si>
  <si>
    <t>latitude</t>
  </si>
  <si>
    <t>longitude</t>
  </si>
  <si>
    <t>CHN</t>
  </si>
  <si>
    <t>AUS</t>
  </si>
  <si>
    <t>AUT</t>
  </si>
  <si>
    <t>BRA</t>
  </si>
  <si>
    <t>CZE</t>
  </si>
  <si>
    <t>DEU</t>
  </si>
  <si>
    <t>ITA</t>
  </si>
  <si>
    <t>JPN</t>
  </si>
  <si>
    <t>KOR</t>
  </si>
  <si>
    <t>ROE</t>
  </si>
  <si>
    <t>2021 and 2022</t>
  </si>
  <si>
    <t>USGS, 2023 and https://www.statista.com/statistics/1038450/us-bauxite-production/</t>
  </si>
  <si>
    <t xml:space="preserve">conversion </t>
  </si>
  <si>
    <t>grade depostits</t>
  </si>
  <si>
    <t>https://www.ga.gov.au/scientific-topics/minerals/mineral-resources-and-advice/australian-resource-reviews/bauxite</t>
  </si>
  <si>
    <t xml:space="preserve">CO2 </t>
  </si>
  <si>
    <t>t Co2 / t Bauxite</t>
  </si>
  <si>
    <t>https://bauxite.world-aluminium.org/mining/responsible-sourcing/#:~:text=Bauxite%20mining%20emits%2C%20on%20average,2%20per%20tonne%20of%20bauxite.</t>
  </si>
  <si>
    <t xml:space="preserve">Learning rate of HP per cumulative unit sold </t>
  </si>
  <si>
    <t>https://reflex-project.eu/wp-content/uploads/2018/12/REFLEX_policy_brief_Experience_curves_12_2018.pdf</t>
  </si>
  <si>
    <t xml:space="preserve">Or assume: Buaxite reserves are the total reserves of Bauxite and thus the conversion factor is 1 </t>
  </si>
  <si>
    <t>USGS 2024</t>
  </si>
  <si>
    <t>world</t>
  </si>
  <si>
    <t>Aluminium capacity</t>
  </si>
  <si>
    <t xml:space="preserve">converion factor USD in Euro </t>
  </si>
  <si>
    <t>EURO/USD</t>
  </si>
  <si>
    <t xml:space="preserve">Source: IEA 2023 energy technology perspectives </t>
  </si>
  <si>
    <t>Euro/kW</t>
  </si>
  <si>
    <t xml:space="preserve">per kg </t>
  </si>
  <si>
    <t>€/kt</t>
  </si>
  <si>
    <t xml:space="preserve">global </t>
  </si>
  <si>
    <t>https://www.fortunebusinessinsights.com/industry-reports/heat-exchangers-market-100919#</t>
  </si>
  <si>
    <t xml:space="preserve">Mio. USD </t>
  </si>
  <si>
    <t>https://www.strategicmarketresearch.com/market-report/heat-exchangers-market#:~:text=The%20global%20heat%20exchanger%20market,to%20%2425.5%20billion%20by%202030.</t>
  </si>
  <si>
    <t>https://www.imarcgroup.com/europe-heat-exchanger-market</t>
  </si>
  <si>
    <t>facror application HVAC to all applications</t>
  </si>
  <si>
    <t>Mio. RMB</t>
  </si>
  <si>
    <t xml:space="preserve">lifetime of heap tpumo around 18 yrr </t>
  </si>
  <si>
    <t>Source: energy perspective outllok</t>
  </si>
  <si>
    <t>OPEX evolution -&gt; see notes in notion</t>
  </si>
  <si>
    <t>https://www.sciencedirect.com/science/article/pii/S0306261924013977</t>
  </si>
  <si>
    <t xml:space="preserve">to estimate market value </t>
  </si>
  <si>
    <t xml:space="preserve">Air‐source heat pumps for residential applications contain around 15 to 20 kilogrammes of copper, predominantly in their pipes and valves, making up roughly 10% of the overall cost of the devic </t>
  </si>
  <si>
    <t>souzrce (the future of heat pumps, 2022</t>
  </si>
  <si>
    <t>UK example</t>
  </si>
  <si>
    <t>https://www.sciencedirect.com/science/article/pii/S2211467X2400227X</t>
  </si>
  <si>
    <t>Punds</t>
  </si>
  <si>
    <t xml:space="preserve">converison factor </t>
  </si>
  <si>
    <t>euro</t>
  </si>
  <si>
    <t xml:space="preserve">pound </t>
  </si>
  <si>
    <t>https://www.currency.me.uk/convert/eur/gbp#:~:text=Latest%20Currency%20Exchange%20Rates%3A%201%20Euro%20%3D%200.8358%20British%20Pound</t>
  </si>
  <si>
    <t>Euros/HP</t>
  </si>
  <si>
    <t>cost of heat pump 8Kw</t>
  </si>
  <si>
    <t xml:space="preserve">sahre HX </t>
  </si>
  <si>
    <t>Heat Pump Supply Chains and Manufacturing Competitiveness Considerations</t>
  </si>
  <si>
    <t>Heat Pump Supply Chains and Manufacturing Competitiveness Considerations (Margaret Mann, 2016)</t>
  </si>
  <si>
    <t>Per HX in HP</t>
  </si>
  <si>
    <t>Market Value Current</t>
  </si>
  <si>
    <t>valdiate market shares with: https://oec.world/en/profile/hs/heat-exchange-units-non-domestic-non-electric</t>
  </si>
  <si>
    <t>makes sense,ITALY AND germany are big exporters</t>
  </si>
  <si>
    <t>South korea</t>
  </si>
  <si>
    <t>Mio USD</t>
  </si>
  <si>
    <t>https://www.grandviewresearch.com/horizon/outlook/plate-frame-heat-exchangers-market/south-korea</t>
  </si>
  <si>
    <t>https://www.nextmsc.com/report/japan-heat-exchangers-market</t>
  </si>
  <si>
    <t>https://www.grandviewresearch.com/horizon/outlook/shell-and-tube-heat-exchanger-market/brazil</t>
  </si>
  <si>
    <t>https://www.grandviewresearch.com/industry-analysis/us-heat-exchangers-market-report</t>
  </si>
  <si>
    <t xml:space="preserve">In units production capacity per 8 kW HP (see cost sheet) </t>
  </si>
  <si>
    <t xml:space="preserve">units HEX  wit assumption 1 HX per 1 HP </t>
  </si>
  <si>
    <t>Assumption</t>
  </si>
  <si>
    <t xml:space="preserve">conversion factors </t>
  </si>
  <si>
    <t>probably for a 10 kW output</t>
  </si>
  <si>
    <t>assume half aluminium and half copper?? Mentioned in EC JRC 2023</t>
  </si>
  <si>
    <t xml:space="preserve">Average HP </t>
  </si>
  <si>
    <t xml:space="preserve">Lifecycle inventories of heating </t>
  </si>
  <si>
    <t>Aluminum</t>
  </si>
  <si>
    <t xml:space="preserve">Conversion factor </t>
  </si>
  <si>
    <t>From EC JRC Report (page 43):</t>
  </si>
  <si>
    <t>price</t>
  </si>
  <si>
    <t>€/t</t>
  </si>
  <si>
    <t>https://scrreen.eu/wp-content/uploads/2023/01/ALUMINIUM-AND-BAUXITE_CRM_2020_Factsheets_critical_Final.pdf</t>
  </si>
  <si>
    <t>USGS, 2020 and 2018</t>
  </si>
  <si>
    <t>https://markets.businessinsider.com/commodities/aluminum-price/euro</t>
  </si>
  <si>
    <t>k€/kt</t>
  </si>
  <si>
    <t>A</t>
  </si>
  <si>
    <t>Annual grth rate IEA</t>
  </si>
  <si>
    <t>50% in Aitr to water and 20 percent in air to air</t>
  </si>
  <si>
    <t xml:space="preserve">24 air to water and 8% in ata; 1000 GW in cumulative capacity </t>
  </si>
  <si>
    <t>global cumulative</t>
  </si>
  <si>
    <t>global yearly</t>
  </si>
  <si>
    <t>units sold</t>
  </si>
  <si>
    <t xml:space="preserve">calculated: </t>
  </si>
  <si>
    <t>lyons 2023</t>
  </si>
  <si>
    <t>IEA Energy Technology Perspectives 2023, page 453 (annex)</t>
  </si>
  <si>
    <t>Czech Republic</t>
  </si>
  <si>
    <t>Rest of Europe</t>
  </si>
  <si>
    <t>Japan and Korea</t>
  </si>
  <si>
    <t>Korea</t>
  </si>
  <si>
    <t>allocation based on demand data as a rough estimate</t>
  </si>
  <si>
    <t xml:space="preserve">if estimated on a 8kw HP </t>
  </si>
  <si>
    <t>Node</t>
  </si>
  <si>
    <t>validation in https://21255462.fs1.hubspotusercontent-na1.net/hubfs/21255462/Reports%20-%20Research/BZE%202024%20-%20Heat%20Pumps%20Supply%20Chain%20Briefing%20Paper.pdf?utm_medium=email&amp;_hsenc=p2ANqtz-9dM8q358vgTGkDybe5e7jgnidtYeyNJEe5lIx4vgFMrCjajGmjMZRA6pWnNwM3C8x8xaJyVpqTPY3p2QLWycjpnTHNBw&amp;_hsmi=295770870&amp;utm_content=295770870&amp;utm_source=hs_automation</t>
  </si>
  <si>
    <t xml:space="preserve">this includes HP and AC split systems </t>
  </si>
  <si>
    <t>https://21255462.fs1.hubspotusercontent-na1.net/hubfs/21255462/Reports%20-%20Research/BZE%202024%20-%20Heat%20Pumps%20Supply%20Chain%20Briefing%20Paper.pdf?utm_medium=email&amp;_hsenc=p2ANqtz-9dM8q358vgTGkDybe5e7jgnidtYeyNJEe5lIx4vgFMrCjajGmjMZRA6pWnNwM3C8x8xaJyVpqTPY3p2QLWycjpnTHNBw&amp;_hsmi=295770870&amp;utm_content=295770870&amp;utm_source=hs_automation</t>
  </si>
  <si>
    <t>australia</t>
  </si>
  <si>
    <t xml:space="preserve">in HP manufacturing </t>
  </si>
  <si>
    <t>https://21255462.fs1.hubspotusercontent-na1.net/hubfs/21255462/Reports%20-%20Research/BZE%202024%20-%20Make%20it%20Here%20Building%20Australias%20Clean%20Industrial%20Future%20.pdf?utm_medium=email&amp;_hsenc=p2ANqtz-830lZIoJiepzUI-y6CKlT2VKway4PaFo_35Km9xKs-JjEI34UFgSiLcYE4S5qALQvqTJZSZ2a2d6oBJgafaoQ4Rw4QzA&amp;_hsmi=305939647&amp;utm_content=305939647&amp;utm_source=hs_automation</t>
  </si>
  <si>
    <t>ROW w/o Australia</t>
  </si>
  <si>
    <t>estimation, Australia covers less then 20% of demand by domestic production</t>
  </si>
  <si>
    <t>CAGR (2024 - 2032)</t>
  </si>
  <si>
    <t>&gt; based ont he sahre of e.g shell and tube -&gt; sufficient if i found a source</t>
  </si>
  <si>
    <t>CAPEX specific</t>
  </si>
  <si>
    <t>Growth Rate</t>
  </si>
  <si>
    <t xml:space="preserve">CAGR </t>
  </si>
  <si>
    <t>( https://eur-lex.europa.eu/legal-content/EN/TXT/?uri=CELEX%3A52022DC0643&amp;qid=1669913060946)</t>
  </si>
  <si>
    <t xml:space="preserve">Oceania </t>
  </si>
  <si>
    <t>North America</t>
  </si>
  <si>
    <t>Asia</t>
  </si>
  <si>
    <t>https://www.iea.org/commentaries/global-heat-pump-sales-continue-double-digit-growth</t>
  </si>
  <si>
    <t>YoY</t>
  </si>
  <si>
    <t>Assumption for conversino</t>
  </si>
  <si>
    <t xml:space="preserve">HP </t>
  </si>
  <si>
    <t>kW</t>
  </si>
  <si>
    <t>Euros/HP or Euros /8kW</t>
  </si>
  <si>
    <t>Europe Copper</t>
  </si>
  <si>
    <t>LatAm Copper</t>
  </si>
  <si>
    <t xml:space="preserve">Aluminium </t>
  </si>
  <si>
    <t>OPEX</t>
  </si>
  <si>
    <t>USD / tyr</t>
  </si>
  <si>
    <t>https://documents1.worldbank.org/curated/en/099222003082337952/pdf/P1740030ce87ae0650ad6c0f93f0b5f9c91.pdf</t>
  </si>
  <si>
    <r>
      <t xml:space="preserve">Electricity costs </t>
    </r>
    <r>
      <rPr>
        <sz val="11"/>
        <color rgb="FF001E5E"/>
        <rFont val="ArialMT"/>
      </rPr>
      <t xml:space="preserve">are a key part of OPEX – e.g., approx. 30% of costs of Chinese production (S&amp;P Global, 2021) </t>
    </r>
  </si>
  <si>
    <t>€/(t/yr)</t>
  </si>
  <si>
    <t>Aluminium ores 2021</t>
  </si>
  <si>
    <t>Aluminium and articles thereof</t>
  </si>
  <si>
    <t>Air or vacuum pumps (compressors)</t>
  </si>
  <si>
    <t>origin china s this is most  often orimary producer</t>
  </si>
  <si>
    <t xml:space="preserve">Air conditioning </t>
  </si>
  <si>
    <t xml:space="preserve">in euro </t>
  </si>
  <si>
    <t>pcs</t>
  </si>
  <si>
    <t xml:space="preserve">Scenario 1: continue with current growth rate in unit pcs. </t>
  </si>
  <si>
    <t>IEA</t>
  </si>
  <si>
    <t>IEA, 2024</t>
  </si>
  <si>
    <t>https://www.news.market.us/heat-pump-statistics/</t>
  </si>
  <si>
    <t xml:space="preserve">validated with IEA </t>
  </si>
  <si>
    <t>share us</t>
  </si>
  <si>
    <t xml:space="preserve">sahre in prodcution usa currently </t>
  </si>
  <si>
    <t xml:space="preserve">need 1400 GW in 2050 in APS scnarion in china </t>
  </si>
  <si>
    <t>europe is fastes growing HP market</t>
  </si>
  <si>
    <t>Ecoinvent 3.10</t>
  </si>
  <si>
    <t>ecoinvent</t>
  </si>
  <si>
    <t>kg/kg iron</t>
  </si>
  <si>
    <t>source carbon footprint</t>
  </si>
  <si>
    <t>ecoonvent</t>
  </si>
  <si>
    <t>includes upstrea</t>
  </si>
  <si>
    <t>Data for CH</t>
  </si>
  <si>
    <t>kg Co2-eq / 4 Kw compressor</t>
  </si>
  <si>
    <t>ecoinevent</t>
  </si>
  <si>
    <t>Carbon foortprint</t>
  </si>
  <si>
    <t>Ecoinvent</t>
  </si>
  <si>
    <t>CAPEX( €/kW)</t>
  </si>
  <si>
    <t>capacity investment existing in MW</t>
  </si>
  <si>
    <t>https://iea.blob.core.windows.net/assets/217e820f-3344-4144-9d2c-cc444e080421/FutureofHeatpumpsinChina.pdf, IEA</t>
  </si>
  <si>
    <t>Assume nickel in alloyed steel</t>
  </si>
  <si>
    <t>reserves europe: https://rmis.jrc.ec.europa.eu/rmp/Nickel</t>
  </si>
  <si>
    <t>https://rmis.jrc.ec.europa.eu/rmp/Nickel</t>
  </si>
  <si>
    <t xml:space="preserve">Korea </t>
  </si>
  <si>
    <t>Price</t>
  </si>
  <si>
    <t>€/kg</t>
  </si>
  <si>
    <t>https://markets.businessinsider.com/commodities/copper-price</t>
  </si>
  <si>
    <t xml:space="preserve">Cost </t>
  </si>
  <si>
    <t xml:space="preserve"> https://markets.businessinsider.com/commodities/nickel-price</t>
  </si>
  <si>
    <t>and https://rmis.jrc.ec.europa.eu/rmp/Copper</t>
  </si>
  <si>
    <t>https://rmis.jrc.ec.europa.eu/rmp/Copper</t>
  </si>
  <si>
    <t xml:space="preserve">copper of which are in compressor </t>
  </si>
  <si>
    <t>copper in rest of hp</t>
  </si>
  <si>
    <t>steel in compressot</t>
  </si>
  <si>
    <t>Steel rest in HP</t>
  </si>
  <si>
    <t>kg/HP</t>
  </si>
  <si>
    <t xml:space="preserve">per Fu of 8 W </t>
  </si>
  <si>
    <t>kg/kW</t>
  </si>
  <si>
    <t>€/yr</t>
  </si>
  <si>
    <t>units HP</t>
  </si>
  <si>
    <t>capacity_existing in units</t>
  </si>
  <si>
    <t>capacity_existing in GW</t>
  </si>
  <si>
    <t xml:space="preserve">For Czechia </t>
  </si>
  <si>
    <t>Share compressor</t>
  </si>
  <si>
    <t>https://www.gminsights.com/industry-analysis/europe-heat-pump-compressors-market</t>
  </si>
  <si>
    <t>https://www.nextmsc.com/report/australia-air-compressor-market#:~:text=The%20Australia%20Air%20Compressor%20Market,5.9%25%20from%202024%20to%202030.</t>
  </si>
  <si>
    <t>https://www.maximizemarketresearch.com/market-report/air-conditioning-compressor-market/169709/#:~:text=Air%20Conditioning%20Compressor%20Market%20–%20increasing,to%20boost%20the%20market%20growth&amp;text=Air%20Conditioning%20Compressor%20Market%20size,5.2%20%25%20during%20the%20forecast%20period.</t>
  </si>
  <si>
    <t>https://www.bsria.com/us/news/article/world_compressor_market_an_overview/?srsltid=AfmBOoofS_VauHvF8VQmVHWe5OgWs4tQRiutDIwbD5xMriB5_O1y6Fwz</t>
  </si>
  <si>
    <t xml:space="preserve">Market size compressors </t>
  </si>
  <si>
    <t>in heat pumop</t>
  </si>
  <si>
    <t>10^9 USD</t>
  </si>
  <si>
    <t>https://www.gminsights.com/industry-analysis/heat-pump-compressors-market</t>
  </si>
  <si>
    <t>1% market share heat pump</t>
  </si>
  <si>
    <t>https://www.futuremarketinsights.com/reports/air-conditioning-compressor-market</t>
  </si>
  <si>
    <t>https://www.verifiedmarketresearch.com/product/heat-pump-compressor-market/</t>
  </si>
  <si>
    <t>https://www.strategicmarketresearch.com/market-report/heat-pump-compressors-market</t>
  </si>
  <si>
    <t xml:space="preserve">conversino factor for heat pumps in compressors </t>
  </si>
  <si>
    <t>avergea hp global</t>
  </si>
  <si>
    <t xml:space="preserve">no data </t>
  </si>
  <si>
    <t>in euro</t>
  </si>
  <si>
    <t xml:space="preserve">conversion factor </t>
  </si>
  <si>
    <t>mt</t>
  </si>
  <si>
    <t>UGS, 2021 https://opac.geologie.ac.at/ais312/dokumente/Uhlig_1910_Eisenerz_Österreich.pdf</t>
  </si>
  <si>
    <t xml:space="preserve">Price </t>
  </si>
  <si>
    <t>https://markets.businessinsider.com/commodities/iron-ore-price</t>
  </si>
  <si>
    <t>https://tradingeconomics.com/commodity/steel</t>
  </si>
  <si>
    <t xml:space="preserve">kg reserves / kg output </t>
  </si>
  <si>
    <t xml:space="preserve">Node </t>
  </si>
  <si>
    <t>CAGR historical</t>
  </si>
  <si>
    <t>https://one.oecd.org/document/DSTI/SC(2024)3/FINAL/en/pdf</t>
  </si>
  <si>
    <t xml:space="preserve">Auslastung at around 70% </t>
  </si>
  <si>
    <t>https://www.sciencedirect.com/science/article/pii/S0959652618335224</t>
  </si>
  <si>
    <t>Mio. Jobs</t>
  </si>
  <si>
    <t>in europe</t>
  </si>
  <si>
    <t>jobs</t>
  </si>
  <si>
    <t>OPEX av</t>
  </si>
  <si>
    <t>australoa</t>
  </si>
  <si>
    <t xml:space="preserve">refrigerant </t>
  </si>
  <si>
    <t>Halogenated derivatives of hydrocarbons</t>
  </si>
  <si>
    <t>Iron or non-alloy steel; semi-finished products thereof</t>
  </si>
  <si>
    <t>sahre refrigerant</t>
  </si>
  <si>
    <t>in €/kW</t>
  </si>
  <si>
    <t>Euro/kg refrigerant</t>
  </si>
  <si>
    <t>Mittelwert between most common types</t>
  </si>
  <si>
    <t>import availability</t>
  </si>
  <si>
    <t>Scenario high GWP refrigerant</t>
  </si>
  <si>
    <t>Productio</t>
  </si>
  <si>
    <t xml:space="preserve">Gobal </t>
  </si>
  <si>
    <t>https://wedocs.unep.org/bitstream/handle/20.500.11822/33094/CoolRep.pdf?sequence=1&amp;isAllowed=y</t>
  </si>
  <si>
    <t>tCO2-eq</t>
  </si>
  <si>
    <t>https://ozone.unep.org/countries/profile/chn</t>
  </si>
  <si>
    <t xml:space="preserve">USA </t>
  </si>
  <si>
    <t>https://cleantechnica.com/2023/11/17/169-million-to-accelerate-electric-heat-pump-manufacturing-in-usa/</t>
  </si>
  <si>
    <t xml:space="preserve">Summe without labor </t>
  </si>
  <si>
    <t xml:space="preserve">Adjust the cost </t>
  </si>
  <si>
    <t>Estimate total cost</t>
  </si>
  <si>
    <t xml:space="preserve">Include labor cost somehow </t>
  </si>
  <si>
    <t>https://iea.blob.core.windows.net/assets/7e7f4b17-1bb2-48e4-8a92-fb9355b1d1bd/CleanTechnologyManufacturingRoadmap.pdf</t>
  </si>
  <si>
    <t xml:space="preserve">€/kW </t>
  </si>
  <si>
    <t xml:space="preserve">Cost of Manufacturing </t>
  </si>
  <si>
    <t>Average market size compressors HVAC</t>
  </si>
  <si>
    <t>for validation</t>
  </si>
  <si>
    <t>https://transitionasia.org/green-steel-economics-south-korea-factsheet/#:~:text=In%20South%20Korea%2C%20the%20analysis,BF%2DBOF%20cost%20of%20%24605.</t>
  </si>
  <si>
    <t>https://www.ewi.uni-koeln.de/cms/wp-content/uploads/2022/12/221209_EWI_H2-Steel_Low-carbon-steel.pdf</t>
  </si>
  <si>
    <t>https://transitionasia.org/green-steel-economics-brazil-factsheet/</t>
  </si>
  <si>
    <t xml:space="preserve">of whcih assumed labor cost </t>
  </si>
  <si>
    <t>total cost</t>
  </si>
  <si>
    <t>capacity_investment_existing MW</t>
  </si>
  <si>
    <t>OPEX specific variable  (excluded labor work - super rough estimate)</t>
  </si>
  <si>
    <t>calulated from data from iEA https://www.iea.org/reports/the-future-of-heat-pumps-in-china/executive-summary</t>
  </si>
  <si>
    <t>Row</t>
  </si>
  <si>
    <t>capacity 2035 estimated</t>
  </si>
  <si>
    <t>total</t>
  </si>
  <si>
    <t xml:space="preserve">Conversion Technology </t>
  </si>
  <si>
    <t>Capacity Existing</t>
  </si>
  <si>
    <t>Capacity Limit</t>
  </si>
  <si>
    <t>Carbon Footprint</t>
  </si>
  <si>
    <t>Aluminium Production</t>
  </si>
  <si>
    <t>yes</t>
  </si>
  <si>
    <t xml:space="preserve">yes </t>
  </si>
  <si>
    <t xml:space="preserve">Bauxite mining </t>
  </si>
  <si>
    <t>one value</t>
  </si>
  <si>
    <t xml:space="preserve">Iron mining </t>
  </si>
  <si>
    <t>Nickel mining</t>
  </si>
  <si>
    <t>Copper mining</t>
  </si>
  <si>
    <t>Mineral Mining</t>
  </si>
  <si>
    <t xml:space="preserve">one value </t>
  </si>
  <si>
    <t xml:space="preserve">no </t>
  </si>
  <si>
    <t xml:space="preserve">used CAPEX of copper/nickel mining </t>
  </si>
  <si>
    <t>Steel Production</t>
  </si>
  <si>
    <t>Copper Refinement</t>
  </si>
  <si>
    <t xml:space="preserve">Compressor Manufacturing </t>
  </si>
  <si>
    <t xml:space="preserve">Material Production </t>
  </si>
  <si>
    <t xml:space="preserve">HEX Manufacturing </t>
  </si>
  <si>
    <t xml:space="preserve">HP Assembly </t>
  </si>
  <si>
    <t xml:space="preserve">Component Manufacturing </t>
  </si>
  <si>
    <t xml:space="preserve">Final Assembly </t>
  </si>
  <si>
    <t xml:space="preserve">Regionalized cost factors </t>
  </si>
  <si>
    <t xml:space="preserve">For Labour </t>
  </si>
  <si>
    <t xml:space="preserve">Labour adjusment factor </t>
  </si>
  <si>
    <t xml:space="preserve">For Energy Cost  </t>
  </si>
  <si>
    <t xml:space="preserve">Energy  adjusment factor </t>
  </si>
  <si>
    <t>€/h</t>
  </si>
  <si>
    <t>USD/kWh</t>
  </si>
  <si>
    <t>air - air CHN</t>
  </si>
  <si>
    <t>air - water CHN</t>
  </si>
  <si>
    <t>air - air home EU</t>
  </si>
  <si>
    <t>air - water EU</t>
  </si>
  <si>
    <t>air - air JPN</t>
  </si>
  <si>
    <t>air - water JPN</t>
  </si>
  <si>
    <t>air air CHN</t>
  </si>
  <si>
    <t>air air India</t>
  </si>
  <si>
    <t>IEA 2024</t>
  </si>
  <si>
    <t xml:space="preserve">average value for technologies </t>
  </si>
  <si>
    <t>For countries in EU</t>
  </si>
  <si>
    <t xml:space="preserve">Material Cost </t>
  </si>
  <si>
    <t>Assumptions</t>
  </si>
  <si>
    <t xml:space="preserve">share material on total cost </t>
  </si>
  <si>
    <t>see ENEL 2023</t>
  </si>
  <si>
    <t xml:space="preserve">share affected by labor </t>
  </si>
  <si>
    <t>total cost with adjusted labor cost</t>
  </si>
  <si>
    <t>Rest of World</t>
  </si>
  <si>
    <t>Allocation factor HX</t>
  </si>
  <si>
    <t>Allocation Factor Compresso r</t>
  </si>
  <si>
    <t xml:space="preserve">Material cost </t>
  </si>
  <si>
    <t xml:space="preserve">Allocation OPEX HX and Compressor </t>
  </si>
  <si>
    <t>Assumed allocation to HEX</t>
  </si>
  <si>
    <t>Allocation based on weight principle</t>
  </si>
  <si>
    <t>total weight input Hx</t>
  </si>
  <si>
    <t xml:space="preserve">total weight input compressor </t>
  </si>
  <si>
    <t xml:space="preserve">total weight input materials </t>
  </si>
  <si>
    <t xml:space="preserve">Share Copper in Component/HP </t>
  </si>
  <si>
    <t xml:space="preserve">Share Steel in Component/HP </t>
  </si>
  <si>
    <t>Only Component cost minus steel and copper</t>
  </si>
  <si>
    <t xml:space="preserve">Cost Copper in HP total </t>
  </si>
  <si>
    <t xml:space="preserve">Cost Steel in HP total </t>
  </si>
  <si>
    <t xml:space="preserve">ENEL </t>
  </si>
  <si>
    <t>%</t>
  </si>
  <si>
    <t xml:space="preserve">based on weight </t>
  </si>
  <si>
    <t>Assumed allocation to Compressor</t>
  </si>
  <si>
    <t>air air USA</t>
  </si>
  <si>
    <t xml:space="preserve">air air CHN </t>
  </si>
  <si>
    <t xml:space="preserve">air water CHN </t>
  </si>
  <si>
    <t xml:space="preserve">air air EU </t>
  </si>
  <si>
    <t>air water EU</t>
  </si>
  <si>
    <t xml:space="preserve">air air USA </t>
  </si>
  <si>
    <t xml:space="preserve">air air JPN </t>
  </si>
  <si>
    <t xml:space="preserve">air water Jon </t>
  </si>
  <si>
    <t xml:space="preserve">air air India </t>
  </si>
  <si>
    <t>Bar2</t>
  </si>
  <si>
    <t>Bar3</t>
  </si>
  <si>
    <t>Bar4</t>
  </si>
  <si>
    <t>Bar5</t>
  </si>
  <si>
    <t>OPEX and labor cost</t>
  </si>
  <si>
    <t>FIXED OPEX</t>
  </si>
  <si>
    <t>only OPEX FIXED</t>
  </si>
  <si>
    <t xml:space="preserve">FIXED OPEX </t>
  </si>
  <si>
    <t>Variable OPEX</t>
  </si>
  <si>
    <t>eu</t>
  </si>
  <si>
    <t xml:space="preserve">china </t>
  </si>
  <si>
    <t>usa</t>
  </si>
  <si>
    <t xml:space="preserve">Cost Electricty (adjusted) </t>
  </si>
  <si>
    <t>average enrgy cost per kW</t>
  </si>
  <si>
    <t>EU Hydronic report</t>
  </si>
  <si>
    <t xml:space="preserve">Include labor cost </t>
  </si>
  <si>
    <t xml:space="preserve">OPEX fixed and variable For Heat Pump Assemble </t>
  </si>
  <si>
    <t xml:space="preserve">OPEX variable for Compressor and HEX manufacturing </t>
  </si>
  <si>
    <t>fixed OPEX</t>
  </si>
  <si>
    <t>Labor cost</t>
  </si>
  <si>
    <t xml:space="preserve">CAPEX </t>
  </si>
  <si>
    <t xml:space="preserve">CAPEX HP </t>
  </si>
  <si>
    <t xml:space="preserve">Total OPEX </t>
  </si>
  <si>
    <t>Part of HP</t>
  </si>
  <si>
    <t>Share HEX</t>
  </si>
  <si>
    <t>Allocation for CAPEX</t>
  </si>
  <si>
    <t>Share OPEX to CAPEX</t>
  </si>
  <si>
    <t>Compressor</t>
  </si>
  <si>
    <t>HEX</t>
  </si>
  <si>
    <t>Average total</t>
  </si>
  <si>
    <t>Assumption use the same ratio OPEX/CAPEX from HP to HEX and compressor s</t>
  </si>
  <si>
    <t>https://www.grandviewresearch.com/horizon/outlook/air-compressor-market/south-korea</t>
  </si>
  <si>
    <t>Umrechnungsfaktor von unit ro kW</t>
  </si>
  <si>
    <t>kW/unit</t>
  </si>
  <si>
    <t>https://www.clasp.ngo/wp-content/uploads/2021/01/ENG-2018-Technical-and-Economic-Feasibility-Study-for-a-High-Efficiency-Compressor-Market-in-Brazil.pdf</t>
  </si>
  <si>
    <t>assumed COP of 3.5</t>
  </si>
  <si>
    <t>https://www.spglobal.com/market-intelligence/en/news-insights/research/copper-all-in-sustaining-cost-jumps-16-percent-yoy-in-2021-margins-double</t>
  </si>
  <si>
    <t xml:space="preserve">Ajusted OPEX with labor and energy cost </t>
  </si>
  <si>
    <t xml:space="preserve">Sahre of labor on total cost </t>
  </si>
  <si>
    <t>Share of energ</t>
  </si>
  <si>
    <t>https://www.teck.com/media/CESL-Publication-Copper-On-Site-vs-Cu-Con-Sales-Alta-2005.pdf</t>
  </si>
  <si>
    <t xml:space="preserve">€/kg </t>
  </si>
  <si>
    <t>€/t Cu</t>
  </si>
  <si>
    <t>https://www.sciencedirect.com/science/article/pii/S0301420716300824</t>
  </si>
  <si>
    <t>china</t>
  </si>
  <si>
    <t>Average</t>
  </si>
  <si>
    <t xml:space="preserve">OPEX adjusted </t>
  </si>
  <si>
    <t xml:space="preserve">OPEX data given </t>
  </si>
  <si>
    <t xml:space="preserve">adjusted for missing nodes (30% labor, 30% energy) </t>
  </si>
  <si>
    <t xml:space="preserve">Share labor </t>
  </si>
  <si>
    <t xml:space="preserve">share energy </t>
  </si>
  <si>
    <t>https://www.spglobal.com/market-intelligence/en/news-insights/research/nickel-industry-margins-surged-in-2021-amid-stronger-nickel-prices</t>
  </si>
  <si>
    <t xml:space="preserve">Averga </t>
  </si>
  <si>
    <t xml:space="preserve">OPEX values found </t>
  </si>
  <si>
    <t>Share Energy</t>
  </si>
  <si>
    <t>Com</t>
  </si>
  <si>
    <t>HP</t>
  </si>
  <si>
    <t>"inf"</t>
  </si>
  <si>
    <t>price_shed_demand</t>
  </si>
  <si>
    <t>Experience rate</t>
  </si>
  <si>
    <t>share on current production (2022)</t>
  </si>
  <si>
    <t xml:space="preserve">Iron </t>
  </si>
  <si>
    <t>kt/a</t>
  </si>
  <si>
    <t>max_laod</t>
  </si>
  <si>
    <t>OPEX evolution</t>
  </si>
  <si>
    <t>Leanring rate</t>
  </si>
  <si>
    <t>http://www.strategosinc.com/downloads/learning-curves-dl1.pdf</t>
  </si>
  <si>
    <t>Learning rate</t>
  </si>
  <si>
    <t>European demand</t>
  </si>
  <si>
    <t xml:space="preserve">Europea productio </t>
  </si>
  <si>
    <t>Learning Rates</t>
  </si>
  <si>
    <t xml:space="preserve">Base case </t>
  </si>
  <si>
    <t xml:space="preserve">europe </t>
  </si>
  <si>
    <t xml:space="preserve">asia pacific </t>
  </si>
  <si>
    <t>https://wires.onlinelibrary.wiley.com/doi/full/10.1002/wene.463#:~:text=The%20actual%20learning%20rate%20percentage,the%20one%20in%20the%20Netherlands</t>
  </si>
  <si>
    <t>Assumption: the lower the deploymentz (historically the lower the LR)</t>
  </si>
  <si>
    <t>https://www.sciencedirect.com/science/article/pii/0140700787900508</t>
  </si>
  <si>
    <t>Scenario OPEX</t>
  </si>
  <si>
    <t>only 4% of heating needs https://www.iea.org/reports/the-future-of-heat-pumps-in-china/executive-summary</t>
  </si>
  <si>
    <t>https://heatpumpingtechnologies.org/annex46/wp-content/uploads/sites/53/2020/10/hpt-an46-02-04-task-1-counry-report-japan.pdf</t>
  </si>
  <si>
    <t>OPEX Evolution Base case</t>
  </si>
  <si>
    <t xml:space="preserve">OPEX Evolution Scenario </t>
  </si>
  <si>
    <t>Pacifi cemdan</t>
  </si>
  <si>
    <t>Pacific production</t>
  </si>
  <si>
    <t xml:space="preserve">total </t>
  </si>
  <si>
    <t xml:space="preserve">For sceanrio analysis: priduction at least as high as demand </t>
  </si>
  <si>
    <t>Demand 2035</t>
  </si>
  <si>
    <t>demand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</si>
</sst>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€&quot;\ * #,##0.00_-;\-&quot;€&quot;\ * #,##0.00_-;_-&quot;€&quot;\ * &quot;-&quot;??_-;_-@_-"/>
    <numFmt numFmtId="43" formatCode="_-* #,##0.00_-;\-* #,##0.00_-;_-* &quot;-&quot;??_-;_-@_-"/>
    <numFmt numFmtId="164" formatCode="0.0000"/>
    <numFmt numFmtId="165" formatCode="#,##0.0"/>
    <numFmt numFmtId="166" formatCode="_(* #,##0.0_);_(* \(#,##0.0\);_(* &quot;-&quot;??_);_(@_)"/>
    <numFmt numFmtId="167" formatCode="#,##0.0_);\(#,##0.0\)"/>
    <numFmt numFmtId="168" formatCode="#,##0_);\(#,##0\)"/>
    <numFmt numFmtId="169" formatCode="#,##0.000000_);\(#,##0.000000\)"/>
    <numFmt numFmtId="170" formatCode="_(* #,##0.00_);_(* \(#,##0.00\);_(* &quot;-&quot;??_);_(@_)"/>
    <numFmt numFmtId="171" formatCode="0.0%"/>
    <numFmt numFmtId="172" formatCode="0.0"/>
    <numFmt numFmtId="173" formatCode="&quot;€&quot;\ #,##0.00"/>
    <numFmt numFmtId="174" formatCode="_-* #,##0_-;\-* #,##0_-;_-* &quot;-&quot;??_-;_-@_-"/>
    <numFmt numFmtId="175" formatCode="_-* #,##0.0_-;\-* #,##0.0_-;_-* &quot;-&quot;?_-;_-@_-"/>
    <numFmt numFmtId="176" formatCode="0.000"/>
    <numFmt numFmtId="177" formatCode="0.0000000000000"/>
    <numFmt numFmtId="178" formatCode="_-&quot;€&quot;\ * #,##0_-;\-&quot;€&quot;\ * #,##0_-;_-&quot;€&quot;\ * &quot;-&quot;??_-;_-@_-"/>
  </numFmts>
  <fonts count="4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Cambria"/>
      <family val="1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4"/>
      <color theme="1"/>
      <name val="Aptos Narrow"/>
      <scheme val="minor"/>
    </font>
    <font>
      <b/>
      <sz val="12"/>
      <color rgb="FF332D56"/>
      <name val="Roboto"/>
    </font>
    <font>
      <sz val="9"/>
      <color rgb="FF000000"/>
      <name val="Helvetica"/>
      <family val="2"/>
    </font>
    <font>
      <b/>
      <sz val="11"/>
      <color rgb="FF000000"/>
      <name val="Helvetica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"/>
      <family val="2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b/>
      <vertAlign val="subscript"/>
      <sz val="10"/>
      <color rgb="FF000000"/>
      <name val="Calibri"/>
      <family val="2"/>
    </font>
    <font>
      <b/>
      <sz val="9"/>
      <color rgb="FF000000"/>
      <name val="Helvetica"/>
      <family val="2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4"/>
      <color rgb="FF1F1F1F"/>
      <name val="Georgia"/>
      <family val="1"/>
    </font>
    <font>
      <sz val="13"/>
      <color rgb="FF000000"/>
      <name val="Helvetica Neue"/>
      <family val="2"/>
    </font>
    <font>
      <sz val="12"/>
      <color rgb="FFFF0000"/>
      <name val="Aptos Narrow"/>
      <family val="2"/>
      <scheme val="minor"/>
    </font>
    <font>
      <sz val="10"/>
      <color rgb="FFFF0000"/>
      <name val="Helvetica Neue"/>
      <family val="2"/>
    </font>
    <font>
      <sz val="12"/>
      <color theme="1"/>
      <name val="Aptos Narrow"/>
      <scheme val="minor"/>
    </font>
    <font>
      <sz val="9"/>
      <color theme="1"/>
      <name val="Calibri"/>
      <family val="2"/>
    </font>
    <font>
      <b/>
      <sz val="11"/>
      <color rgb="FF001E5E"/>
      <name val="Arial"/>
      <family val="2"/>
    </font>
    <font>
      <sz val="11"/>
      <color rgb="FF001E5E"/>
      <name val="ArialMT"/>
    </font>
    <font>
      <sz val="12"/>
      <color rgb="FF231F1F"/>
      <name val="Helvetica"/>
      <family val="2"/>
    </font>
    <font>
      <sz val="14"/>
      <color rgb="FF231F1F"/>
      <name val="Helvetica"/>
      <family val="2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sz val="10"/>
      <color rgb="FF000000"/>
      <name val="Arial Narrow"/>
      <family val="2"/>
    </font>
    <font>
      <sz val="10"/>
      <color rgb="FF9876AA"/>
      <name val="JetBrains Mono"/>
      <family val="3"/>
    </font>
    <font>
      <b/>
      <sz val="12"/>
      <color rgb="FF000000"/>
      <name val="Aptos Narrow"/>
      <scheme val="minor"/>
    </font>
    <font>
      <b/>
      <sz val="16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666666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170" fontId="16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3" fillId="0" borderId="0" xfId="0" applyFont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7" fillId="0" borderId="3" xfId="0" applyFont="1" applyBorder="1" applyAlignment="1">
      <alignment vertical="center"/>
    </xf>
    <xf numFmtId="0" fontId="5" fillId="0" borderId="3" xfId="0" applyFont="1" applyBorder="1"/>
    <xf numFmtId="0" fontId="7" fillId="0" borderId="1" xfId="0" applyFont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0" xfId="0" applyFont="1"/>
    <xf numFmtId="0" fontId="10" fillId="2" borderId="0" xfId="0" applyFont="1" applyFill="1"/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horizontal="center"/>
    </xf>
    <xf numFmtId="0" fontId="13" fillId="0" borderId="0" xfId="0" applyFont="1"/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15" fillId="0" borderId="0" xfId="0" applyFont="1"/>
    <xf numFmtId="0" fontId="17" fillId="0" borderId="0" xfId="0" applyFont="1"/>
    <xf numFmtId="9" fontId="0" fillId="0" borderId="0" xfId="2" applyFont="1"/>
    <xf numFmtId="0" fontId="19" fillId="0" borderId="0" xfId="0" applyFont="1"/>
    <xf numFmtId="165" fontId="20" fillId="0" borderId="6" xfId="0" applyNumberFormat="1" applyFont="1" applyBorder="1" applyAlignment="1">
      <alignment horizontal="left" vertical="center" wrapText="1"/>
    </xf>
    <xf numFmtId="166" fontId="21" fillId="0" borderId="6" xfId="1" applyNumberFormat="1" applyFont="1" applyBorder="1" applyAlignment="1">
      <alignment horizontal="right" vertical="center" wrapText="1"/>
    </xf>
    <xf numFmtId="165" fontId="20" fillId="0" borderId="7" xfId="0" applyNumberFormat="1" applyFont="1" applyBorder="1" applyAlignment="1">
      <alignment horizontal="left" vertical="center" wrapText="1"/>
    </xf>
    <xf numFmtId="165" fontId="22" fillId="0" borderId="5" xfId="0" applyNumberFormat="1" applyFont="1" applyBorder="1" applyAlignment="1">
      <alignment horizontal="left" vertical="center" wrapText="1"/>
    </xf>
    <xf numFmtId="167" fontId="23" fillId="0" borderId="7" xfId="0" applyNumberFormat="1" applyFont="1" applyBorder="1" applyAlignment="1">
      <alignment horizontal="right" vertical="center" wrapText="1"/>
    </xf>
    <xf numFmtId="0" fontId="24" fillId="0" borderId="0" xfId="0" applyFont="1"/>
    <xf numFmtId="14" fontId="25" fillId="0" borderId="0" xfId="0" applyNumberFormat="1" applyFont="1" applyAlignment="1">
      <alignment horizontal="left"/>
    </xf>
    <xf numFmtId="0" fontId="26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18" fillId="0" borderId="0" xfId="3"/>
    <xf numFmtId="168" fontId="23" fillId="0" borderId="7" xfId="0" applyNumberFormat="1" applyFont="1" applyBorder="1" applyAlignment="1">
      <alignment horizontal="right" vertical="center" wrapText="1"/>
    </xf>
    <xf numFmtId="169" fontId="23" fillId="0" borderId="9" xfId="0" applyNumberFormat="1" applyFont="1" applyBorder="1" applyAlignment="1">
      <alignment horizontal="right" vertical="center" wrapText="1"/>
    </xf>
    <xf numFmtId="10" fontId="0" fillId="0" borderId="0" xfId="0" applyNumberFormat="1"/>
    <xf numFmtId="0" fontId="29" fillId="0" borderId="0" xfId="0" applyFont="1"/>
    <xf numFmtId="10" fontId="0" fillId="0" borderId="0" xfId="2" applyNumberFormat="1" applyFont="1"/>
    <xf numFmtId="0" fontId="30" fillId="3" borderId="0" xfId="4"/>
    <xf numFmtId="0" fontId="32" fillId="0" borderId="0" xfId="0" applyFont="1"/>
    <xf numFmtId="0" fontId="36" fillId="0" borderId="0" xfId="0" applyFont="1"/>
    <xf numFmtId="171" fontId="36" fillId="0" borderId="0" xfId="2" applyNumberFormat="1" applyFont="1"/>
    <xf numFmtId="2" fontId="0" fillId="0" borderId="0" xfId="0" applyNumberFormat="1"/>
    <xf numFmtId="172" fontId="0" fillId="0" borderId="0" xfId="0" applyNumberFormat="1"/>
    <xf numFmtId="0" fontId="37" fillId="0" borderId="0" xfId="0" applyFont="1"/>
    <xf numFmtId="173" fontId="0" fillId="0" borderId="0" xfId="0" applyNumberFormat="1"/>
    <xf numFmtId="1" fontId="0" fillId="0" borderId="0" xfId="0" applyNumberFormat="1"/>
    <xf numFmtId="174" fontId="0" fillId="0" borderId="0" xfId="1" applyNumberFormat="1" applyFont="1"/>
    <xf numFmtId="175" fontId="0" fillId="0" borderId="0" xfId="0" applyNumberFormat="1"/>
    <xf numFmtId="0" fontId="38" fillId="0" borderId="0" xfId="0" applyFont="1"/>
    <xf numFmtId="9" fontId="1" fillId="0" borderId="0" xfId="2" applyFont="1"/>
    <xf numFmtId="9" fontId="1" fillId="0" borderId="0" xfId="0" applyNumberFormat="1" applyFont="1"/>
    <xf numFmtId="3" fontId="1" fillId="0" borderId="0" xfId="0" applyNumberFormat="1" applyFont="1"/>
    <xf numFmtId="11" fontId="40" fillId="0" borderId="0" xfId="0" applyNumberFormat="1" applyFont="1"/>
    <xf numFmtId="11" fontId="41" fillId="0" borderId="0" xfId="0" applyNumberFormat="1" applyFont="1"/>
    <xf numFmtId="3" fontId="8" fillId="0" borderId="0" xfId="0" applyNumberFormat="1" applyFont="1"/>
    <xf numFmtId="165" fontId="0" fillId="0" borderId="0" xfId="0" applyNumberFormat="1"/>
    <xf numFmtId="4" fontId="0" fillId="0" borderId="0" xfId="0" applyNumberFormat="1"/>
    <xf numFmtId="2" fontId="0" fillId="0" borderId="0" xfId="1" applyNumberFormat="1" applyFont="1"/>
    <xf numFmtId="0" fontId="42" fillId="0" borderId="0" xfId="0" applyFont="1"/>
    <xf numFmtId="0" fontId="43" fillId="0" borderId="0" xfId="0" applyFont="1"/>
    <xf numFmtId="2" fontId="8" fillId="0" borderId="0" xfId="0" applyNumberFormat="1" applyFont="1"/>
    <xf numFmtId="3" fontId="44" fillId="0" borderId="0" xfId="0" applyNumberFormat="1" applyFont="1"/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" fillId="2" borderId="0" xfId="0" applyFont="1" applyFill="1"/>
    <xf numFmtId="3" fontId="36" fillId="0" borderId="0" xfId="0" applyNumberFormat="1" applyFont="1"/>
    <xf numFmtId="0" fontId="45" fillId="0" borderId="0" xfId="0" applyFont="1"/>
    <xf numFmtId="176" fontId="0" fillId="0" borderId="0" xfId="0" applyNumberFormat="1"/>
    <xf numFmtId="2" fontId="1" fillId="0" borderId="0" xfId="0" applyNumberFormat="1" applyFont="1"/>
    <xf numFmtId="0" fontId="0" fillId="0" borderId="11" xfId="0" applyBorder="1"/>
    <xf numFmtId="0" fontId="0" fillId="0" borderId="4" xfId="0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1" fillId="0" borderId="10" xfId="0" applyFont="1" applyBorder="1"/>
    <xf numFmtId="0" fontId="1" fillId="0" borderId="12" xfId="0" applyFont="1" applyBorder="1"/>
    <xf numFmtId="0" fontId="0" fillId="0" borderId="2" xfId="0" applyBorder="1"/>
    <xf numFmtId="0" fontId="0" fillId="0" borderId="13" xfId="0" applyBorder="1"/>
    <xf numFmtId="0" fontId="0" fillId="0" borderId="14" xfId="0" applyBorder="1"/>
    <xf numFmtId="9" fontId="0" fillId="0" borderId="0" xfId="0" applyNumberFormat="1"/>
    <xf numFmtId="0" fontId="0" fillId="0" borderId="15" xfId="0" applyBorder="1"/>
    <xf numFmtId="9" fontId="0" fillId="0" borderId="0" xfId="2" applyFont="1" applyBorder="1"/>
    <xf numFmtId="0" fontId="1" fillId="0" borderId="14" xfId="0" applyFont="1" applyBorder="1"/>
    <xf numFmtId="0" fontId="12" fillId="0" borderId="14" xfId="0" applyFont="1" applyBorder="1"/>
    <xf numFmtId="2" fontId="0" fillId="0" borderId="15" xfId="0" applyNumberFormat="1" applyBorder="1"/>
    <xf numFmtId="0" fontId="0" fillId="0" borderId="16" xfId="0" applyBorder="1"/>
    <xf numFmtId="0" fontId="1" fillId="0" borderId="3" xfId="0" applyFont="1" applyBorder="1"/>
    <xf numFmtId="2" fontId="0" fillId="0" borderId="3" xfId="0" applyNumberFormat="1" applyBorder="1"/>
    <xf numFmtId="0" fontId="0" fillId="0" borderId="17" xfId="0" applyBorder="1"/>
    <xf numFmtId="1" fontId="0" fillId="0" borderId="3" xfId="0" applyNumberFormat="1" applyBorder="1"/>
    <xf numFmtId="172" fontId="0" fillId="0" borderId="3" xfId="0" applyNumberFormat="1" applyBorder="1"/>
    <xf numFmtId="0" fontId="29" fillId="0" borderId="14" xfId="0" applyFont="1" applyBorder="1"/>
    <xf numFmtId="0" fontId="46" fillId="0" borderId="0" xfId="0" applyFont="1"/>
    <xf numFmtId="0" fontId="0" fillId="0" borderId="3" xfId="0" applyBorder="1"/>
    <xf numFmtId="0" fontId="0" fillId="0" borderId="12" xfId="0" applyBorder="1"/>
    <xf numFmtId="1" fontId="0" fillId="0" borderId="14" xfId="0" applyNumberFormat="1" applyBorder="1"/>
    <xf numFmtId="1" fontId="0" fillId="0" borderId="16" xfId="0" applyNumberFormat="1" applyBorder="1"/>
    <xf numFmtId="0" fontId="0" fillId="0" borderId="0" xfId="0" applyAlignment="1">
      <alignment horizontal="right"/>
    </xf>
    <xf numFmtId="2" fontId="0" fillId="0" borderId="17" xfId="0" applyNumberFormat="1" applyBorder="1"/>
    <xf numFmtId="177" fontId="1" fillId="0" borderId="0" xfId="0" applyNumberFormat="1" applyFont="1"/>
    <xf numFmtId="0" fontId="47" fillId="0" borderId="12" xfId="0" applyFont="1" applyBorder="1" applyAlignment="1">
      <alignment vertical="center"/>
    </xf>
    <xf numFmtId="0" fontId="47" fillId="0" borderId="2" xfId="0" applyFont="1" applyBorder="1" applyAlignment="1">
      <alignment vertical="center"/>
    </xf>
    <xf numFmtId="0" fontId="47" fillId="0" borderId="13" xfId="0" applyFont="1" applyBorder="1" applyAlignment="1">
      <alignment vertical="center"/>
    </xf>
    <xf numFmtId="0" fontId="47" fillId="0" borderId="3" xfId="0" applyFont="1" applyBorder="1" applyAlignment="1">
      <alignment vertical="center"/>
    </xf>
    <xf numFmtId="0" fontId="47" fillId="0" borderId="17" xfId="0" applyFont="1" applyBorder="1" applyAlignment="1">
      <alignment vertical="center"/>
    </xf>
    <xf numFmtId="0" fontId="1" fillId="0" borderId="15" xfId="0" applyFont="1" applyBorder="1"/>
    <xf numFmtId="0" fontId="8" fillId="0" borderId="14" xfId="0" applyFont="1" applyBorder="1"/>
    <xf numFmtId="0" fontId="35" fillId="0" borderId="0" xfId="0" applyFont="1"/>
    <xf numFmtId="0" fontId="18" fillId="0" borderId="0" xfId="3" applyBorder="1"/>
    <xf numFmtId="0" fontId="34" fillId="4" borderId="0" xfId="5" applyFont="1" applyBorder="1"/>
    <xf numFmtId="0" fontId="9" fillId="0" borderId="14" xfId="0" applyFont="1" applyBorder="1"/>
    <xf numFmtId="0" fontId="1" fillId="0" borderId="2" xfId="0" applyFont="1" applyBorder="1"/>
    <xf numFmtId="16" fontId="0" fillId="0" borderId="0" xfId="0" applyNumberFormat="1"/>
    <xf numFmtId="0" fontId="31" fillId="4" borderId="0" xfId="5" applyBorder="1"/>
    <xf numFmtId="0" fontId="33" fillId="0" borderId="0" xfId="0" applyFont="1"/>
    <xf numFmtId="0" fontId="8" fillId="0" borderId="16" xfId="0" applyFont="1" applyBorder="1"/>
    <xf numFmtId="0" fontId="18" fillId="0" borderId="14" xfId="3" applyBorder="1"/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165" fontId="36" fillId="0" borderId="0" xfId="0" applyNumberFormat="1" applyFont="1"/>
    <xf numFmtId="2" fontId="0" fillId="5" borderId="0" xfId="1" applyNumberFormat="1" applyFont="1" applyFill="1"/>
    <xf numFmtId="0" fontId="0" fillId="5" borderId="0" xfId="0" applyFill="1"/>
    <xf numFmtId="171" fontId="0" fillId="0" borderId="0" xfId="2" applyNumberFormat="1" applyFont="1"/>
    <xf numFmtId="176" fontId="0" fillId="0" borderId="0" xfId="2" applyNumberFormat="1" applyFont="1"/>
    <xf numFmtId="176" fontId="1" fillId="0" borderId="0" xfId="0" applyNumberFormat="1" applyFont="1"/>
    <xf numFmtId="44" fontId="0" fillId="0" borderId="0" xfId="7" applyFont="1"/>
    <xf numFmtId="178" fontId="0" fillId="0" borderId="0" xfId="7" applyNumberFormat="1" applyFont="1"/>
    <xf numFmtId="44" fontId="0" fillId="0" borderId="0" xfId="0" applyNumberFormat="1"/>
    <xf numFmtId="177" fontId="0" fillId="0" borderId="0" xfId="0" applyNumberFormat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47" fillId="0" borderId="12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8">
    <cellStyle name="Comma 2" xfId="6" xr:uid="{D7EC2D1E-E924-784C-86DC-C5F0BF43105C}"/>
    <cellStyle name="Komma" xfId="1" builtinId="3"/>
    <cellStyle name="Link" xfId="3" builtinId="8"/>
    <cellStyle name="Neutral" xfId="5" builtinId="28"/>
    <cellStyle name="Prozent" xfId="2" builtinId="5"/>
    <cellStyle name="Schlecht" xfId="4" builtinId="27"/>
    <cellStyle name="Standard" xfId="0" builtinId="0"/>
    <cellStyle name="Währung" xfId="7" builtinId="4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698500</xdr:colOff>
      <xdr:row>17</xdr:row>
      <xdr:rowOff>139700</xdr:rowOff>
    </xdr:from>
    <xdr:to>
      <xdr:col>22</xdr:col>
      <xdr:colOff>609600</xdr:colOff>
      <xdr:row>39</xdr:row>
      <xdr:rowOff>199368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63C459C-F233-89B6-04AF-DF00AF186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83400" y="3644900"/>
          <a:ext cx="7772400" cy="461896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20</xdr:col>
      <xdr:colOff>305064</xdr:colOff>
      <xdr:row>18</xdr:row>
      <xdr:rowOff>25400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B19861A-8220-B081-82C0-5F4BDE9B4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10400" y="635000"/>
          <a:ext cx="5473964" cy="309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1079581</xdr:colOff>
      <xdr:row>5</xdr:row>
      <xdr:rowOff>190528</xdr:rowOff>
    </xdr:from>
    <xdr:to>
      <xdr:col>18</xdr:col>
      <xdr:colOff>523622</xdr:colOff>
      <xdr:row>38</xdr:row>
      <xdr:rowOff>98998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2ADC24B-8B86-1696-8A5C-4CEF02D46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69904" y="1228377"/>
          <a:ext cx="7787804" cy="6681804"/>
        </a:xfrm>
        <a:prstGeom prst="rect">
          <a:avLst/>
        </a:prstGeom>
      </xdr:spPr>
    </xdr:pic>
    <xdr:clientData/>
  </xdr:twoCellAnchor>
  <xdr:twoCellAnchor editAs="oneCell">
    <xdr:from>
      <xdr:col>18</xdr:col>
      <xdr:colOff>711200</xdr:colOff>
      <xdr:row>0</xdr:row>
      <xdr:rowOff>25400</xdr:rowOff>
    </xdr:from>
    <xdr:to>
      <xdr:col>28</xdr:col>
      <xdr:colOff>269568</xdr:colOff>
      <xdr:row>27</xdr:row>
      <xdr:rowOff>144864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9131035-81DD-14F3-CEC2-AA367D540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70200" y="25400"/>
          <a:ext cx="7772400" cy="5631264"/>
        </a:xfrm>
        <a:prstGeom prst="rect">
          <a:avLst/>
        </a:prstGeom>
      </xdr:spPr>
    </xdr:pic>
    <xdr:clientData/>
  </xdr:twoCellAnchor>
  <xdr:twoCellAnchor editAs="oneCell">
    <xdr:from>
      <xdr:col>15</xdr:col>
      <xdr:colOff>660400</xdr:colOff>
      <xdr:row>45</xdr:row>
      <xdr:rowOff>177800</xdr:rowOff>
    </xdr:from>
    <xdr:to>
      <xdr:col>25</xdr:col>
      <xdr:colOff>218768</xdr:colOff>
      <xdr:row>51</xdr:row>
      <xdr:rowOff>196183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8814304B-2299-BBE1-71D9-31C1CAFCC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13100" y="9347200"/>
          <a:ext cx="7772400" cy="12375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491517</xdr:colOff>
      <xdr:row>6</xdr:row>
      <xdr:rowOff>104843</xdr:rowOff>
    </xdr:from>
    <xdr:to>
      <xdr:col>31</xdr:col>
      <xdr:colOff>32965</xdr:colOff>
      <xdr:row>29</xdr:row>
      <xdr:rowOff>48552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4F98221-5748-05BF-E6BF-CA230D547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94389" y="1361332"/>
          <a:ext cx="7782939" cy="4672433"/>
        </a:xfrm>
        <a:prstGeom prst="rect">
          <a:avLst/>
        </a:prstGeom>
      </xdr:spPr>
    </xdr:pic>
    <xdr:clientData/>
  </xdr:twoCellAnchor>
  <xdr:twoCellAnchor editAs="oneCell">
    <xdr:from>
      <xdr:col>21</xdr:col>
      <xdr:colOff>401267</xdr:colOff>
      <xdr:row>29</xdr:row>
      <xdr:rowOff>41883</xdr:rowOff>
    </xdr:from>
    <xdr:to>
      <xdr:col>29</xdr:col>
      <xdr:colOff>135917</xdr:colOff>
      <xdr:row>49</xdr:row>
      <xdr:rowOff>101297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4682F17-C013-74DA-7399-EEF5E22EF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04139" y="6027096"/>
          <a:ext cx="6327842" cy="4293410"/>
        </a:xfrm>
        <a:prstGeom prst="rect">
          <a:avLst/>
        </a:prstGeom>
      </xdr:spPr>
    </xdr:pic>
    <xdr:clientData/>
  </xdr:twoCellAnchor>
  <xdr:twoCellAnchor editAs="oneCell">
    <xdr:from>
      <xdr:col>14</xdr:col>
      <xdr:colOff>721361</xdr:colOff>
      <xdr:row>84</xdr:row>
      <xdr:rowOff>114902</xdr:rowOff>
    </xdr:from>
    <xdr:to>
      <xdr:col>20</xdr:col>
      <xdr:colOff>794151</xdr:colOff>
      <xdr:row>98</xdr:row>
      <xdr:rowOff>72715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C6D695B-CCF3-8051-336A-0BF118634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83894" y="17539302"/>
          <a:ext cx="5051190" cy="280261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100</xdr:row>
      <xdr:rowOff>0</xdr:rowOff>
    </xdr:from>
    <xdr:to>
      <xdr:col>23</xdr:col>
      <xdr:colOff>383309</xdr:colOff>
      <xdr:row>126</xdr:row>
      <xdr:rowOff>68861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967136B-9573-C2E1-C810-A889C7E45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49192" y="20640707"/>
          <a:ext cx="7772400" cy="540542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304800</xdr:colOff>
      <xdr:row>102</xdr:row>
      <xdr:rowOff>101600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81C8BDEA-E5B6-F8E7-F176-10D179D77DF6}"/>
            </a:ext>
          </a:extLst>
        </xdr:cNvPr>
        <xdr:cNvSpPr>
          <a:spLocks noChangeAspect="1" noChangeArrowheads="1"/>
        </xdr:cNvSpPr>
      </xdr:nvSpPr>
      <xdr:spPr bwMode="auto">
        <a:xfrm>
          <a:off x="17500600" y="208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</xdr:row>
      <xdr:rowOff>0</xdr:rowOff>
    </xdr:from>
    <xdr:to>
      <xdr:col>10</xdr:col>
      <xdr:colOff>304800</xdr:colOff>
      <xdr:row>111</xdr:row>
      <xdr:rowOff>101600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FB64159B-5B34-2B13-FE09-AEF4154BB23A}"/>
            </a:ext>
          </a:extLst>
        </xdr:cNvPr>
        <xdr:cNvSpPr>
          <a:spLocks noChangeAspect="1" noChangeArrowheads="1"/>
        </xdr:cNvSpPr>
      </xdr:nvSpPr>
      <xdr:spPr bwMode="auto">
        <a:xfrm>
          <a:off x="17500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109</xdr:row>
      <xdr:rowOff>0</xdr:rowOff>
    </xdr:from>
    <xdr:to>
      <xdr:col>12</xdr:col>
      <xdr:colOff>304800</xdr:colOff>
      <xdr:row>110</xdr:row>
      <xdr:rowOff>101600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E3925FF3-52B3-6827-AF92-083E884AC1CD}"/>
            </a:ext>
          </a:extLst>
        </xdr:cNvPr>
        <xdr:cNvSpPr>
          <a:spLocks noChangeAspect="1" noChangeArrowheads="1"/>
        </xdr:cNvSpPr>
      </xdr:nvSpPr>
      <xdr:spPr bwMode="auto">
        <a:xfrm>
          <a:off x="20294600" y="224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165100</xdr:colOff>
      <xdr:row>99</xdr:row>
      <xdr:rowOff>165101</xdr:rowOff>
    </xdr:from>
    <xdr:to>
      <xdr:col>12</xdr:col>
      <xdr:colOff>46566</xdr:colOff>
      <xdr:row>117</xdr:row>
      <xdr:rowOff>86643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1CDB4AA-BF9E-D15D-F1DF-5964AA8E9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49767" y="20637501"/>
          <a:ext cx="7772400" cy="35791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651933</xdr:colOff>
      <xdr:row>1</xdr:row>
      <xdr:rowOff>25400</xdr:rowOff>
    </xdr:from>
    <xdr:to>
      <xdr:col>20</xdr:col>
      <xdr:colOff>38100</xdr:colOff>
      <xdr:row>46</xdr:row>
      <xdr:rowOff>185029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968C981-096B-C184-76F2-300D975AB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4200" y="228600"/>
          <a:ext cx="6853767" cy="9398000"/>
        </a:xfrm>
        <a:prstGeom prst="rect">
          <a:avLst/>
        </a:prstGeom>
      </xdr:spPr>
    </xdr:pic>
    <xdr:clientData/>
  </xdr:twoCellAnchor>
  <xdr:twoCellAnchor editAs="oneCell">
    <xdr:from>
      <xdr:col>20</xdr:col>
      <xdr:colOff>115445</xdr:colOff>
      <xdr:row>2</xdr:row>
      <xdr:rowOff>18307</xdr:rowOff>
    </xdr:from>
    <xdr:to>
      <xdr:col>29</xdr:col>
      <xdr:colOff>458345</xdr:colOff>
      <xdr:row>44</xdr:row>
      <xdr:rowOff>141290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CF791FB-4235-8514-2CD8-6E5B7F828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15312" y="424707"/>
          <a:ext cx="7810500" cy="874832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84667</xdr:rowOff>
    </xdr:from>
    <xdr:to>
      <xdr:col>22</xdr:col>
      <xdr:colOff>811959</xdr:colOff>
      <xdr:row>69</xdr:row>
      <xdr:rowOff>136024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E21BC2E-9D6C-B64C-8617-49B042621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62000" y="10075334"/>
          <a:ext cx="9109292" cy="4115358"/>
        </a:xfrm>
        <a:prstGeom prst="rect">
          <a:avLst/>
        </a:prstGeom>
      </xdr:spPr>
    </xdr:pic>
    <xdr:clientData/>
  </xdr:twoCellAnchor>
  <xdr:twoCellAnchor editAs="oneCell">
    <xdr:from>
      <xdr:col>0</xdr:col>
      <xdr:colOff>1276681</xdr:colOff>
      <xdr:row>44</xdr:row>
      <xdr:rowOff>164007</xdr:rowOff>
    </xdr:from>
    <xdr:to>
      <xdr:col>6</xdr:col>
      <xdr:colOff>145400</xdr:colOff>
      <xdr:row>71</xdr:row>
      <xdr:rowOff>114156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3D91AE2-3B10-687D-F73E-F38142B64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6681" y="9054007"/>
          <a:ext cx="7330629" cy="53440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393700</xdr:colOff>
      <xdr:row>0</xdr:row>
      <xdr:rowOff>63500</xdr:rowOff>
    </xdr:from>
    <xdr:to>
      <xdr:col>20</xdr:col>
      <xdr:colOff>736600</xdr:colOff>
      <xdr:row>14</xdr:row>
      <xdr:rowOff>201376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2F3BD1D-510A-6FE3-009F-6B806B13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0" y="63500"/>
          <a:ext cx="7772400" cy="2978443"/>
        </a:xfrm>
        <a:prstGeom prst="rect">
          <a:avLst/>
        </a:prstGeom>
      </xdr:spPr>
    </xdr:pic>
    <xdr:clientData/>
  </xdr:twoCellAnchor>
  <xdr:twoCellAnchor editAs="oneCell">
    <xdr:from>
      <xdr:col>11</xdr:col>
      <xdr:colOff>393700</xdr:colOff>
      <xdr:row>14</xdr:row>
      <xdr:rowOff>190500</xdr:rowOff>
    </xdr:from>
    <xdr:to>
      <xdr:col>20</xdr:col>
      <xdr:colOff>736600</xdr:colOff>
      <xdr:row>30</xdr:row>
      <xdr:rowOff>88216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A225F712-729D-954B-A5B9-28F617430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2200" y="3098800"/>
          <a:ext cx="7772400" cy="31489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17</xdr:col>
      <xdr:colOff>342900</xdr:colOff>
      <xdr:row>19</xdr:row>
      <xdr:rowOff>85466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3AF6FB4-6F8C-2F1F-24C6-D08686B73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0" y="0"/>
          <a:ext cx="7772400" cy="397166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17</xdr:col>
      <xdr:colOff>342900</xdr:colOff>
      <xdr:row>48</xdr:row>
      <xdr:rowOff>139404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55BB0C2-981F-7829-5632-FC288DA64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1100" y="4495800"/>
          <a:ext cx="7772400" cy="54226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330200</xdr:colOff>
      <xdr:row>0</xdr:row>
      <xdr:rowOff>152400</xdr:rowOff>
    </xdr:from>
    <xdr:to>
      <xdr:col>26</xdr:col>
      <xdr:colOff>647699</xdr:colOff>
      <xdr:row>22</xdr:row>
      <xdr:rowOff>190500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E418721-1999-CB92-753D-D0BA2CED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23300" y="152400"/>
          <a:ext cx="6096000" cy="4508500"/>
        </a:xfrm>
        <a:prstGeom prst="rect">
          <a:avLst/>
        </a:prstGeom>
      </xdr:spPr>
    </xdr:pic>
    <xdr:clientData/>
  </xdr:twoCellAnchor>
  <xdr:twoCellAnchor editAs="oneCell">
    <xdr:from>
      <xdr:col>19</xdr:col>
      <xdr:colOff>546100</xdr:colOff>
      <xdr:row>27</xdr:row>
      <xdr:rowOff>38100</xdr:rowOff>
    </xdr:from>
    <xdr:to>
      <xdr:col>29</xdr:col>
      <xdr:colOff>63499</xdr:colOff>
      <xdr:row>55</xdr:row>
      <xdr:rowOff>9195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DFCB132-10ED-EED2-0B46-381BCB695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39200" y="5524500"/>
          <a:ext cx="7772400" cy="5660695"/>
        </a:xfrm>
        <a:prstGeom prst="rect">
          <a:avLst/>
        </a:prstGeom>
      </xdr:spPr>
    </xdr:pic>
    <xdr:clientData/>
  </xdr:twoCellAnchor>
  <xdr:twoCellAnchor editAs="oneCell">
    <xdr:from>
      <xdr:col>11</xdr:col>
      <xdr:colOff>779717</xdr:colOff>
      <xdr:row>11</xdr:row>
      <xdr:rowOff>112105</xdr:rowOff>
    </xdr:from>
    <xdr:to>
      <xdr:col>17</xdr:col>
      <xdr:colOff>1396299</xdr:colOff>
      <xdr:row>34</xdr:row>
      <xdr:rowOff>106911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4E4F29C8-BC89-D14E-74A7-BCAF583A9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30952" y="2354204"/>
          <a:ext cx="7781890" cy="4682830"/>
        </a:xfrm>
        <a:prstGeom prst="rect">
          <a:avLst/>
        </a:prstGeom>
      </xdr:spPr>
    </xdr:pic>
    <xdr:clientData/>
  </xdr:twoCellAnchor>
  <xdr:twoCellAnchor editAs="oneCell">
    <xdr:from>
      <xdr:col>14</xdr:col>
      <xdr:colOff>73837</xdr:colOff>
      <xdr:row>50</xdr:row>
      <xdr:rowOff>147674</xdr:rowOff>
    </xdr:from>
    <xdr:to>
      <xdr:col>19</xdr:col>
      <xdr:colOff>339652</xdr:colOff>
      <xdr:row>65</xdr:row>
      <xdr:rowOff>91062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9093EAA7-F719-C45B-2DEC-18F1991C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51744" y="10484883"/>
          <a:ext cx="6276163" cy="3044551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147674</xdr:colOff>
      <xdr:row>34</xdr:row>
      <xdr:rowOff>162442</xdr:rowOff>
    </xdr:from>
    <xdr:to>
      <xdr:col>19</xdr:col>
      <xdr:colOff>103373</xdr:colOff>
      <xdr:row>50</xdr:row>
      <xdr:rowOff>17740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9DF2A2FF-7B1F-DBEA-33F0-853BB3144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5581" y="7191744"/>
          <a:ext cx="5966047" cy="31632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800100</xdr:colOff>
      <xdr:row>7</xdr:row>
      <xdr:rowOff>76200</xdr:rowOff>
    </xdr:from>
    <xdr:to>
      <xdr:col>21</xdr:col>
      <xdr:colOff>317500</xdr:colOff>
      <xdr:row>33</xdr:row>
      <xdr:rowOff>118533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695CA54-25FE-FAE5-6FF8-70DB29EEE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0600" y="1498600"/>
          <a:ext cx="7772400" cy="532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237066</xdr:colOff>
      <xdr:row>42</xdr:row>
      <xdr:rowOff>50801</xdr:rowOff>
    </xdr:from>
    <xdr:to>
      <xdr:col>20</xdr:col>
      <xdr:colOff>711200</xdr:colOff>
      <xdr:row>64</xdr:row>
      <xdr:rowOff>199015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2B4BB5D-8525-B030-D721-EB921342C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76533" y="8703734"/>
          <a:ext cx="7772400" cy="4618614"/>
        </a:xfrm>
        <a:prstGeom prst="rect">
          <a:avLst/>
        </a:prstGeom>
      </xdr:spPr>
    </xdr:pic>
    <xdr:clientData/>
  </xdr:twoCellAnchor>
  <xdr:twoCellAnchor editAs="oneCell">
    <xdr:from>
      <xdr:col>13</xdr:col>
      <xdr:colOff>220133</xdr:colOff>
      <xdr:row>64</xdr:row>
      <xdr:rowOff>186267</xdr:rowOff>
    </xdr:from>
    <xdr:to>
      <xdr:col>20</xdr:col>
      <xdr:colOff>694267</xdr:colOff>
      <xdr:row>82</xdr:row>
      <xdr:rowOff>125026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193EF00-4B8D-5821-0C76-E1F5FCD20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59600" y="13309600"/>
          <a:ext cx="7772400" cy="3613292"/>
        </a:xfrm>
        <a:prstGeom prst="rect">
          <a:avLst/>
        </a:prstGeom>
      </xdr:spPr>
    </xdr:pic>
    <xdr:clientData/>
  </xdr:twoCellAnchor>
  <xdr:twoCellAnchor editAs="oneCell">
    <xdr:from>
      <xdr:col>13</xdr:col>
      <xdr:colOff>135467</xdr:colOff>
      <xdr:row>83</xdr:row>
      <xdr:rowOff>50800</xdr:rowOff>
    </xdr:from>
    <xdr:to>
      <xdr:col>20</xdr:col>
      <xdr:colOff>609601</xdr:colOff>
      <xdr:row>99</xdr:row>
      <xdr:rowOff>78005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79EB461-EB63-3C89-5F4D-598642A42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74934" y="17068800"/>
          <a:ext cx="7772400" cy="32784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25</xdr:row>
      <xdr:rowOff>0</xdr:rowOff>
    </xdr:from>
    <xdr:to>
      <xdr:col>20</xdr:col>
      <xdr:colOff>342900</xdr:colOff>
      <xdr:row>51</xdr:row>
      <xdr:rowOff>44271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F2C0C07-2C73-9D01-0995-9B2E2521E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7300" y="4686300"/>
          <a:ext cx="7772400" cy="532747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30</xdr:col>
      <xdr:colOff>342900</xdr:colOff>
      <xdr:row>49</xdr:row>
      <xdr:rowOff>67692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093C2C7-B563-8B28-F3EE-87A1460D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40400" y="3263900"/>
          <a:ext cx="7772400" cy="657009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80</xdr:row>
      <xdr:rowOff>157957</xdr:rowOff>
    </xdr:from>
    <xdr:to>
      <xdr:col>6</xdr:col>
      <xdr:colOff>977900</xdr:colOff>
      <xdr:row>106</xdr:row>
      <xdr:rowOff>174594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B6BC032-6E83-C36E-B28F-AAB2020B8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30613"/>
          <a:ext cx="7804150" cy="51760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riwan  Fiona" id="{8A453FF7-9048-CB41-B9EA-5D3905E376FD}" userId="S::fkriwan@ethz.ch::279c65f5-0ed6-4c93-8de2-3b223d47fa16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4-10-28T15:52:12.55" personId="{8A453FF7-9048-CB41-B9EA-5D3905E376FD}" id="{3FF654CC-D6C5-3A49-8415-3DC3017C00FA}">
    <text xml:space="preserve">As cooling larger market so far this might lead to oversizing, see Czechia !
</text>
  </threadedComment>
  <threadedComment ref="F14" dT="2024-10-28T15:43:17.61" personId="{8A453FF7-9048-CB41-B9EA-5D3905E376FD}" id="{B4F124B0-E05A-2C4B-83A6-EA2731C29FC7}">
    <text xml:space="preserve">This value does not double check the one in cost estimate 
</text>
  </threadedComment>
  <threadedComment ref="C15" dT="2024-10-28T15:50:15.34" personId="{8A453FF7-9048-CB41-B9EA-5D3905E376FD}" id="{E445D3C1-694E-FE4C-A209-B1BB5BE285B6}">
    <text xml:space="preserve">Gminsight has same value for Germany
</text>
  </threadedComment>
  <threadedComment ref="D38" dT="2024-10-30T09:53:56.97" personId="{8A453FF7-9048-CB41-B9EA-5D3905E376FD}" id="{4D548646-016A-F341-957E-B1451944FBD8}">
    <text xml:space="preserve">Oversizing or undersizing of market. Conversion factor probably off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0" dT="2024-10-18T15:03:58.02" personId="{8A453FF7-9048-CB41-B9EA-5D3905E376FD}" id="{117D6BE1-6078-A44E-9140-888412EE89CE}">
    <text>Might lead to oversizing of the market production? Europe can supply around 70% of its sales her it has surplus (3 mio sales)</text>
  </threadedComment>
  <threadedComment ref="K30" dT="2024-10-14T16:38:50.74" personId="{8A453FF7-9048-CB41-B9EA-5D3905E376FD}" id="{337A98BF-776A-A74E-888C-CC62E0BD7BAC}">
    <text>Based on technology perspective 2023, a 20% increase in production possible (rest of aavilable capacity)</text>
  </threadedComment>
  <threadedComment ref="A35" dT="2024-11-05T12:16:16.06" personId="{8A453FF7-9048-CB41-B9EA-5D3905E376FD}" id="{DCEEDBC8-094A-8946-9943-1427340CFEC3}">
    <text>Double checked with IEA 2023 p 119</text>
  </threadedComment>
  <threadedComment ref="H45" dT="2024-11-05T12:40:43.55" personId="{8A453FF7-9048-CB41-B9EA-5D3905E376FD}" id="{2312FBC8-FEFE-E949-B698-D729EE6F143B}">
    <text>https://www.dcceew.gov.au/sites/default/files/documents/heat-pumps-emerging-trends-in-australian-market.pdf</text>
    <extLst>
      <x:ext xmlns:xltc2="http://schemas.microsoft.com/office/spreadsheetml/2020/threadedcomments2" uri="{F7C98A9C-CBB3-438F-8F68-D28B6AF4A901}">
        <xltc2:checksum>3644200982</xltc2:checksum>
        <xltc2:hyperlink startIndex="0" length="107" url="https://www.dcceew.gov.au/sites/default/files/documents/heat-pumps-emerging-trends-in-australian-market.pdf"/>
      </x:ext>
    </extLst>
  </threadedComment>
  <threadedComment ref="H45" dT="2024-11-05T12:41:53.71" personId="{8A453FF7-9048-CB41-B9EA-5D3905E376FD}" id="{AABBB446-06C8-A145-9C31-6FE476F4B91E}" parentId="{2312FBC8-FEFE-E949-B698-D729EE6F143B}">
    <text>https://www.bze.org.au/pages/heat-pumps</text>
    <extLst>
      <x:ext xmlns:xltc2="http://schemas.microsoft.com/office/spreadsheetml/2020/threadedcomments2" uri="{F7C98A9C-CBB3-438F-8F68-D28B6AF4A901}">
        <xltc2:checksum>2301128150</xltc2:checksum>
        <xltc2:hyperlink startIndex="0" length="39" url="https://www.bze.org.au/pages/heat-pumps"/>
      </x:ext>
    </extLst>
  </threadedComment>
  <threadedComment ref="G125" dT="2024-11-05T13:07:44.63" personId="{8A453FF7-9048-CB41-B9EA-5D3905E376FD}" id="{A8FFEE6D-FA1C-6540-8BB9-8A4F4C9E34D4}">
    <text>Currently in cooling, lets assume can use this until 2035 in Brazil</text>
  </threadedComment>
  <threadedComment ref="G125" dT="2024-11-05T13:08:14.75" personId="{8A453FF7-9048-CB41-B9EA-5D3905E376FD}" id="{0F58CFF3-BB66-F346-B554-7D4AF2EABD58}" parentId="{A8FFEE6D-FA1C-6540-8BB9-8A4F4C9E34D4}">
    <text>Source: https://refindustry.com/news/market-news/new-midea-factory-in-brazil/</text>
    <extLst>
      <x:ext xmlns:xltc2="http://schemas.microsoft.com/office/spreadsheetml/2020/threadedcomments2" uri="{F7C98A9C-CBB3-438F-8F68-D28B6AF4A901}">
        <xltc2:checksum>103141320</xltc2:checksum>
        <xltc2:hyperlink startIndex="8" length="69" url="https://refindustry.com/news/market-news/new-midea-factory-in-brazil/"/>
      </x:ext>
    </extLst>
  </threadedComment>
  <threadedComment ref="C126" dT="2024-11-05T09:43:47.68" personId="{8A453FF7-9048-CB41-B9EA-5D3905E376FD}" id="{9454098B-414F-B842-B3FC-CE1B5229BA57}">
    <text>Doubling of capacity possible until 2030 in IEA 2024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6" dT="2024-10-28T13:23:37.28" personId="{8A453FF7-9048-CB41-B9EA-5D3905E376FD}" id="{769E53F2-E798-8B4A-8F72-BB431E9EE364}">
    <text xml:space="preserve">For a 3.5 kW compressor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38" dT="2024-11-06T10:17:19.34" personId="{8A453FF7-9048-CB41-B9EA-5D3905E376FD}" id="{F4585C7A-4DF7-F44D-BC8B-7F48D1AEC06E}">
    <text xml:space="preserve">Chinese labor cost around a this of the one in the USA
</text>
  </threadedComment>
  <threadedComment ref="B48" dT="2024-11-06T09:12:33.88" personId="{8A453FF7-9048-CB41-B9EA-5D3905E376FD}" id="{47EB0B38-314B-0B4F-8C4D-4467C3E66710}">
    <text xml:space="preserve">By country not specified as of march 2024
</text>
  </threadedComment>
  <threadedComment ref="B48" dT="2024-11-06T09:17:06.50" personId="{8A453FF7-9048-CB41-B9EA-5D3905E376FD}" id="{D92D9A4F-AC53-5F4F-B983-A00A1FCF84CC}" parentId="{47EB0B38-314B-0B4F-8C4D-4467C3E66710}">
    <text xml:space="preserve">https://worldpopulationreview.com/country-rankings/cost-of-electricity-by-country </text>
    <extLst>
      <x:ext xmlns:xltc2="http://schemas.microsoft.com/office/spreadsheetml/2020/threadedcomments2" uri="{F7C98A9C-CBB3-438F-8F68-D28B6AF4A901}">
        <xltc2:checksum>944472509</xltc2:checksum>
        <xltc2:hyperlink startIndex="0" length="81" url="https://worldpopulationreview.com/country-rankings/cost-of-electricity-by-country"/>
        <xltc2:hyperlink startIndex="81" length="1" url="https://worldpopulationreview.com/country-rankings/cost-of-electricity-by-country"/>
      </x:ext>
    </extLs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K13" dT="2024-11-06T10:17:19.34" personId="{8A453FF7-9048-CB41-B9EA-5D3905E376FD}" id="{DA2A5CBE-AAD7-A74B-BDD9-230BA55604DB}">
    <text xml:space="preserve">Chinese labor cost around a this of the one in the USA
</text>
  </threadedComment>
  <threadedComment ref="K24" dT="2024-11-06T09:12:33.88" personId="{8A453FF7-9048-CB41-B9EA-5D3905E376FD}" id="{E0BCECC2-E17D-2B4B-94AA-252EEB7165D1}">
    <text xml:space="preserve">By country not specified as of march 2024
</text>
  </threadedComment>
  <threadedComment ref="K24" dT="2024-11-06T09:17:06.50" personId="{8A453FF7-9048-CB41-B9EA-5D3905E376FD}" id="{6C81D1AF-B5A2-A94D-B1DF-62060B77EF66}" parentId="{E0BCECC2-E17D-2B4B-94AA-252EEB7165D1}">
    <text xml:space="preserve">https://worldpopulationreview.com/country-rankings/cost-of-electricity-by-country </text>
    <extLst>
      <x:ext xmlns:xltc2="http://schemas.microsoft.com/office/spreadsheetml/2020/threadedcomments2" uri="{F7C98A9C-CBB3-438F-8F68-D28B6AF4A901}">
        <xltc2:checksum>944472509</xltc2:checksum>
        <xltc2:hyperlink startIndex="0" length="81" url="https://worldpopulationreview.com/country-rankings/cost-of-electricity-by-country"/>
        <xltc2:hyperlink startIndex="81" length="1" url="https://worldpopulationreview.com/country-rankings/cost-of-electricity-by-country"/>
      </x:ext>
    </extLs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U23" dT="2024-11-06T17:18:19.27" personId="{8A453FF7-9048-CB41-B9EA-5D3905E376FD}" id="{38E412ED-E039-2440-84B8-F92179AC6D4D}">
    <text xml:space="preserve">https://www2.deloitte.com/jp/en/pages/energy-and-resources/articles/driving-value-through-energy-management-mining.html
</text>
    <extLst>
      <x:ext xmlns:xltc2="http://schemas.microsoft.com/office/spreadsheetml/2020/threadedcomments2" uri="{F7C98A9C-CBB3-438F-8F68-D28B6AF4A901}">
        <xltc2:checksum>1840785602</xltc2:checksum>
        <xltc2:hyperlink startIndex="0" length="119" url="https://www2.deloitte.com/jp/en/pages/energy-and-resources/articles/driving-value-through-energy-management-mining.html"/>
        <xltc2:hyperlink startIndex="119" length="1" url="https://www2.deloitte.com/jp/en/pages/energy-and-resources/articles/driving-value-through-energy-management-mining.html"/>
      </x:ext>
    </extLst>
  </threadedComment>
  <threadedComment ref="V23" dT="2024-11-06T17:17:03.32" personId="{8A453FF7-9048-CB41-B9EA-5D3905E376FD}" id="{C57D673E-10D5-4143-9D7B-EB4CE5547E23}">
    <text xml:space="preserve">https://www.iea.org/data-and-statistics/charts/average-labour-costs-and-share-in-total-coal-mining-costs-in-selected-countries-2018-2020
</text>
    <extLst>
      <x:ext xmlns:xltc2="http://schemas.microsoft.com/office/spreadsheetml/2020/threadedcomments2" uri="{F7C98A9C-CBB3-438F-8F68-D28B6AF4A901}">
        <xltc2:checksum>4205851664</xltc2:checksum>
        <xltc2:hyperlink startIndex="0" length="136" url="https://www.iea.org/data-and-statistics/charts/average-labour-costs-and-share-in-total-coal-mining-costs-in-selected-countries-2018-2020"/>
        <xltc2:hyperlink startIndex="136" length="1" url="https://www.iea.org/data-and-statistics/charts/average-labour-costs-and-share-in-total-coal-mining-costs-in-selected-countries-2018-2020"/>
      </x:ext>
    </extLst>
  </threadedComment>
  <threadedComment ref="U44" dT="2024-11-06T17:18:19.27" personId="{8A453FF7-9048-CB41-B9EA-5D3905E376FD}" id="{6F182CF7-135F-5D41-B684-DFDD034749D1}">
    <text xml:space="preserve">https://www2.deloitte.com/jp/en/pages/energy-and-resources/articles/driving-value-through-energy-management-mining.html
</text>
    <extLst>
      <x:ext xmlns:xltc2="http://schemas.microsoft.com/office/spreadsheetml/2020/threadedcomments2" uri="{F7C98A9C-CBB3-438F-8F68-D28B6AF4A901}">
        <xltc2:checksum>1840785602</xltc2:checksum>
        <xltc2:hyperlink startIndex="0" length="119" url="https://www2.deloitte.com/jp/en/pages/energy-and-resources/articles/driving-value-through-energy-management-mining.html"/>
        <xltc2:hyperlink startIndex="119" length="1" url="https://www2.deloitte.com/jp/en/pages/energy-and-resources/articles/driving-value-through-energy-management-mining.html"/>
      </x:ext>
    </extLst>
  </threadedComment>
  <threadedComment ref="V44" dT="2024-11-06T17:17:03.32" personId="{8A453FF7-9048-CB41-B9EA-5D3905E376FD}" id="{7DB742E2-8942-0948-AF59-2FB6783257A0}">
    <text xml:space="preserve">https://www.iea.org/data-and-statistics/charts/average-labour-costs-and-share-in-total-coal-mining-costs-in-selected-countries-2018-2020
</text>
    <extLst>
      <x:ext xmlns:xltc2="http://schemas.microsoft.com/office/spreadsheetml/2020/threadedcomments2" uri="{F7C98A9C-CBB3-438F-8F68-D28B6AF4A901}">
        <xltc2:checksum>4205851664</xltc2:checksum>
        <xltc2:hyperlink startIndex="0" length="136" url="https://www.iea.org/data-and-statistics/charts/average-labour-costs-and-share-in-total-coal-mining-costs-in-selected-countries-2018-2020"/>
        <xltc2:hyperlink startIndex="136" length="1" url="https://www.iea.org/data-and-statistics/charts/average-labour-costs-and-share-in-total-coal-mining-costs-in-selected-countries-2018-2020"/>
      </x:ext>
    </extLst>
  </threadedComment>
  <threadedComment ref="A62" dT="2024-10-03T10:03:29.17" personId="{8A453FF7-9048-CB41-B9EA-5D3905E376FD}" id="{84F5FB70-C26F-7546-8371-DAE4735EDFC9}">
    <text xml:space="preserve">Only considers minable iron not from scraps/ recycling
</text>
  </threadedComment>
  <threadedComment ref="U62" dT="2024-11-12T10:14:06.22" personId="{8A453FF7-9048-CB41-B9EA-5D3905E376FD}" id="{B631E6A3-966A-C04E-B621-B6CAE4D101D7}">
    <text xml:space="preserve">https://miningdataonline.com/property/list.aspx?cat=0&amp;tids=1,2,5,4&amp;ssids=1,2,3&amp;fm=0&amp;yr=18&amp;rb=on&amp;vw=11
</text>
    <extLst>
      <x:ext xmlns:xltc2="http://schemas.microsoft.com/office/spreadsheetml/2020/threadedcomments2" uri="{F7C98A9C-CBB3-438F-8F68-D28B6AF4A901}">
        <xltc2:checksum>1269635152</xltc2:checksum>
        <xltc2:hyperlink startIndex="0" length="101" url="https://miningdataonline.com/property/list.aspx?cat=0&amp;tids=1,2,5,4&amp;ssids=1,2,3&amp;fm=0&amp;yr=18&amp;rb=on&amp;vw=11"/>
        <xltc2:hyperlink startIndex="101" length="2" url="https://miningdataonline.com/property/list.aspx?cat=0&amp;tids=1,2,5,4&amp;ssids=1,2,3&amp;fm=0&amp;yr=18&amp;rb=on&amp;vw=11"/>
      </x:ext>
    </extLst>
  </threadedComment>
  <threadedComment ref="W62" dT="2024-11-12T10:21:38.52" personId="{8A453FF7-9048-CB41-B9EA-5D3905E376FD}" id="{CDDDE5DD-139B-6647-8DD3-53C76AA6EF7C}">
    <text xml:space="preserve">https://www.spglobal.com/marketintelligence/en/news-insights/latest-news-headlines/high-energy-prices-turn-metals-supply-chain-into-global-inflation-engine-69360838
</text>
    <extLst>
      <x:ext xmlns:xltc2="http://schemas.microsoft.com/office/spreadsheetml/2020/threadedcomments2" uri="{F7C98A9C-CBB3-438F-8F68-D28B6AF4A901}">
        <xltc2:checksum>1313222660</xltc2:checksum>
        <xltc2:hyperlink startIndex="0" length="164" url="https://www.spglobal.com/marketintelligence/en/news-insights/latest-news-headlines/high-energy-prices-turn-metals-supply-chain-into-global-inflation-engine-69360838"/>
        <xltc2:hyperlink startIndex="164" length="1" url="https://www.spglobal.com/marketintelligence/en/news-insights/latest-news-headlines/high-energy-prices-turn-metals-supply-chain-into-global-inflation-engine-69360838"/>
      </x:ext>
    </extLst>
  </threadedComment>
  <threadedComment ref="X62" dT="2024-11-06T17:17:03.32" personId="{8A453FF7-9048-CB41-B9EA-5D3905E376FD}" id="{0E189F70-079C-0D48-A90F-EC526283E52F}">
    <text xml:space="preserve">https://www.iea.org/data-and-statistics/charts/average-labour-costs-and-share-in-total-coal-mining-costs-in-selected-countries-2018-2020
</text>
    <extLst>
      <x:ext xmlns:xltc2="http://schemas.microsoft.com/office/spreadsheetml/2020/threadedcomments2" uri="{F7C98A9C-CBB3-438F-8F68-D28B6AF4A901}">
        <xltc2:checksum>4205851664</xltc2:checksum>
        <xltc2:hyperlink startIndex="0" length="136" url="https://www.iea.org/data-and-statistics/charts/average-labour-costs-and-share-in-total-coal-mining-costs-in-selected-countries-2018-2020"/>
        <xltc2:hyperlink startIndex="136" length="1" url="https://www.iea.org/data-and-statistics/charts/average-labour-costs-and-share-in-total-coal-mining-costs-in-selected-countries-2018-2020"/>
      </x:ext>
    </extLs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X33" dT="2024-10-30T14:53:16.83" personId="{8A453FF7-9048-CB41-B9EA-5D3905E376FD}" id="{375BB4AA-9349-5B48-B498-94893223E9AC}">
    <text xml:space="preserve">https://www.ewi.uni-koeln.de/cms/wp-content/uploads/2022/12/221209_EWI_H2-Steel_Low-carbon-steel.pdf
</text>
    <extLst>
      <x:ext xmlns:xltc2="http://schemas.microsoft.com/office/spreadsheetml/2020/threadedcomments2" uri="{F7C98A9C-CBB3-438F-8F68-D28B6AF4A901}">
        <xltc2:checksum>226788193</xltc2:checksum>
        <xltc2:hyperlink startIndex="0" length="100" url="https://www.ewi.uni-koeln.de/cms/wp-content/uploads/2022/12/221209_EWI_H2-Steel_Low-carbon-steel.pdf"/>
        <xltc2:hyperlink startIndex="100" length="1" url="https://www.ewi.uni-koeln.de/cms/wp-content/uploads/2022/12/221209_EWI_H2-Steel_Low-carbon-steel.pdf"/>
      </x:ext>
    </extLst>
  </threadedComment>
  <threadedComment ref="X33" dT="2024-10-30T15:20:23.10" personId="{8A453FF7-9048-CB41-B9EA-5D3905E376FD}" id="{55888853-B3F6-594B-99B2-964A2DC120B5}" parentId="{375BB4AA-9349-5B48-B498-94893223E9AC}">
    <text xml:space="preserve">Rest of the source see non resulted CPAEX ans OPEX
</text>
  </threadedComment>
  <threadedComment ref="X33" dT="2024-11-04T14:28:01.05" personId="{8A453FF7-9048-CB41-B9EA-5D3905E376FD}" id="{598768AC-5EEE-7740-A35E-4C06FE0AFEE7}" parentId="{375BB4AA-9349-5B48-B498-94893223E9AC}">
    <text>Focus on BOF
Steel production</text>
  </threadedComment>
  <threadedComment ref="AD33" dT="2024-10-30T15:11:53.98" personId="{8A453FF7-9048-CB41-B9EA-5D3905E376FD}" id="{8169A07C-CFE9-C045-8C2D-66C202EE5CAE}">
    <text xml:space="preserve">https://www.google.com/url?sa=t&amp;source=web&amp;rct=j&amp;opi=89978449&amp;url=https://publications.jrc.ec.europa.eu/repository/bitstream/JRC129297/JRC129297_01.pdf&amp;ved=2ahUKEwiesvq-6I2JAxWg2wIHHcChN1wQFnoECEEQAQ&amp;usg=AOvVaw2fK4Q1YS9OcRGHpLWYkvm6
</text>
    <extLst>
      <x:ext xmlns:xltc2="http://schemas.microsoft.com/office/spreadsheetml/2020/threadedcomments2" uri="{F7C98A9C-CBB3-438F-8F68-D28B6AF4A901}">
        <xltc2:checksum>4149974227</xltc2:checksum>
        <xltc2:hyperlink startIndex="0" length="232" url="https://www.google.com/url?sa=t&amp;source=web&amp;rct=j&amp;opi=89978449&amp;url=https://publications.jrc.ec.europa.eu/repository/bitstream/JRC129297/JRC129297_01.pdf&amp;ved=2ahUKEwiesvq-6I2JAxWg2wIHHcChN1wQFnoECEEQAQ&amp;usg=AOvVaw2fK4Q1YS9OcRGHpLWYkvm6"/>
      </x:ext>
    </extLst>
  </threadedComment>
  <threadedComment ref="C34" dT="2024-11-05T16:21:53.48" personId="{8A453FF7-9048-CB41-B9EA-5D3905E376FD}" id="{1C9A5175-849A-C341-B7D9-CBCB9DF90CD1}">
    <text>Aluminium executive summary</text>
  </threadedComment>
  <threadedComment ref="E34" dT="2024-11-04T15:11:35.43" personId="{8A453FF7-9048-CB41-B9EA-5D3905E376FD}" id="{89C8B2E0-CF71-2345-A070-A1368214B0AD}">
    <text xml:space="preserve">Europe’s aluminium industry is amongst the least carbon-intensive in
the world: the carbon footprint of producing primary aluminium in Europe is half the global average and three times
lower than that of Chinese production, which represents 60% of total global production. ( see https://european-aluminium.eu/wp-content/uploads/2022/10/2022-05-20-european-aluminium-response-to-repowereu.pdf)
</text>
    <extLst>
      <x:ext xmlns:xltc2="http://schemas.microsoft.com/office/spreadsheetml/2020/threadedcomments2" uri="{F7C98A9C-CBB3-438F-8F68-D28B6AF4A901}">
        <xltc2:checksum>3789035304</xltc2:checksum>
        <xltc2:hyperlink startIndex="279" length="112" url="https://european-aluminium.eu/wp-content/uploads/2022/10/2022-05-20-european-aluminium-response-to-repowereu.pdf"/>
        <xltc2:hyperlink startIndex="391" length="2" url="https://european-aluminium.eu/wp-content/uploads/2022/10/2022-05-20-european-aluminium-response-to-repowereu.pdf"/>
      </x:ext>
    </extLst>
  </threadedComment>
  <threadedComment ref="P34" dT="2024-11-12T09:11:42.62" personId="{8A453FF7-9048-CB41-B9EA-5D3905E376FD}" id="{6C077CC6-F4A1-8246-8FAC-56F8C62B664D}">
    <text>See cost structure in https://www.sciencedirect.com/science/article/pii/S0301420716300824#bbib6</text>
    <extLst>
      <x:ext xmlns:xltc2="http://schemas.microsoft.com/office/spreadsheetml/2020/threadedcomments2" uri="{F7C98A9C-CBB3-438F-8F68-D28B6AF4A901}">
        <xltc2:checksum>2549256174</xltc2:checksum>
        <xltc2:hyperlink startIndex="22" length="73" url="https://www.sciencedirect.com/science/article/pii/S0301420716300824#bbib6"/>
      </x:ext>
    </extLs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minsights.com/industry-analysis/europe-heat-pump-compressors-market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www.maximizemarketresearch.com/market-report/air-conditioning-compressor-market/169709/" TargetMode="External"/><Relationship Id="rId1" Type="http://schemas.openxmlformats.org/officeDocument/2006/relationships/hyperlink" Target="http://www.chinaiol.com/download/Global%20Heat%20Pump%20Market%20Report%202024.pdf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xtmsc.com/news/australia-heat-exchangers-market" TargetMode="External"/><Relationship Id="rId2" Type="http://schemas.openxmlformats.org/officeDocument/2006/relationships/hyperlink" Target="https://www.gminsights.com/industry-analysis/europe-heat-pump-brazed-plate-heat-exchangers-market" TargetMode="External"/><Relationship Id="rId1" Type="http://schemas.openxmlformats.org/officeDocument/2006/relationships/hyperlink" Target="https://www.gminsights.com/industry-analysis/europe-heat-pump-brazed-plate-heat-exchangers-market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www.fortunebusinessinsights.com/industry-reports/heat-exchangers-market-100919" TargetMode="External"/><Relationship Id="rId4" Type="http://schemas.openxmlformats.org/officeDocument/2006/relationships/hyperlink" Target="https://www.cbi.eu/sites/default/files/market-information/product-factsheet-europe-heat-exchangers-2016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ference-board.org/ilcprogram/index.cfm?id=38269" TargetMode="External"/><Relationship Id="rId7" Type="http://schemas.microsoft.com/office/2017/10/relationships/threadedComment" Target="../threadedComments/threadedComment2.xml"/><Relationship Id="rId2" Type="http://schemas.openxmlformats.org/officeDocument/2006/relationships/hyperlink" Target="https://iea.blob.core.windows.net/assets/217e820f-3344-4144-9d2c-cc444e080421/FutureofHeatpumpsinChina.pdf,%20IEA" TargetMode="External"/><Relationship Id="rId1" Type="http://schemas.openxmlformats.org/officeDocument/2006/relationships/hyperlink" Target="https://mcusercontent.com/8dbf465d9a5cfe9f310f1464e/files/aefa3988-2475-e868-fb82-c5a0af13dbaa/EU_Hydronic_Heat_Pump_Manufacturing_Market_Assessment_Technical_Report.pdf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hinaiol.com/download/Global%20Heat%20Pump%20Market%20Report%202024.pdf" TargetMode="External"/><Relationship Id="rId7" Type="http://schemas.openxmlformats.org/officeDocument/2006/relationships/drawing" Target="../drawings/drawing7.xml"/><Relationship Id="rId2" Type="http://schemas.openxmlformats.org/officeDocument/2006/relationships/hyperlink" Target="https://eur-lex.europa.eu/legal-content/EN/TXT/?uri=CELEX%3A52022DC0643&amp;qid=1669913060946" TargetMode="External"/><Relationship Id="rId1" Type="http://schemas.openxmlformats.org/officeDocument/2006/relationships/hyperlink" Target="https://mcusercontent.com/8dbf465d9a5cfe9f310f1464e/files/aefa3988-2475-e868-fb82-c5a0af13dbaa/EU_Hydronic_Heat_Pump_Manufacturing_Market_Assessment_Technical_Report.pdf" TargetMode="External"/><Relationship Id="rId6" Type="http://schemas.openxmlformats.org/officeDocument/2006/relationships/hyperlink" Target="https://iifiir.org/en/news/main-figures-for-the-australian-heat-pump-market" TargetMode="External"/><Relationship Id="rId5" Type="http://schemas.openxmlformats.org/officeDocument/2006/relationships/hyperlink" Target="https://heatpumpingtechnologies.org/wp-content/uploads/2023/03/mcr-iea-hpt-presentation-japan-20230314.pdf" TargetMode="External"/><Relationship Id="rId4" Type="http://schemas.openxmlformats.org/officeDocument/2006/relationships/hyperlink" Target="https://www.heatpumps.london/blog/everything-you-need-to-know-about-heat-pump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ozone.unep.org/countries/profile/aus" TargetMode="External"/><Relationship Id="rId7" Type="http://schemas.openxmlformats.org/officeDocument/2006/relationships/drawing" Target="../drawings/drawing10.xml"/><Relationship Id="rId2" Type="http://schemas.openxmlformats.org/officeDocument/2006/relationships/hyperlink" Target="https://chineseclimatepolicy.oxfordenergy.org/book-content/domestic-policies/hfcs/" TargetMode="External"/><Relationship Id="rId1" Type="http://schemas.openxmlformats.org/officeDocument/2006/relationships/hyperlink" Target="https://www.epa.gov/climate-hfcs-reduction/2022-hfc-data-hub/expanded-hfc-data" TargetMode="External"/><Relationship Id="rId6" Type="http://schemas.openxmlformats.org/officeDocument/2006/relationships/hyperlink" Target="https://ozone.unep.org/countries/profile/aut" TargetMode="External"/><Relationship Id="rId5" Type="http://schemas.openxmlformats.org/officeDocument/2006/relationships/hyperlink" Target="https://ozone.unep.org/countries/profile/cze" TargetMode="External"/><Relationship Id="rId4" Type="http://schemas.openxmlformats.org/officeDocument/2006/relationships/hyperlink" Target="https://ozone.unep.org/countries/profile/ita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global.com/market-intelligence/en/news-insights/research/copper-all-in-sustaining-cost-jumps-16-percent-yoy-in-2021-margins-double" TargetMode="External"/><Relationship Id="rId7" Type="http://schemas.microsoft.com/office/2017/10/relationships/threadedComment" Target="../threadedComments/threadedComment6.xml"/><Relationship Id="rId2" Type="http://schemas.openxmlformats.org/officeDocument/2006/relationships/hyperlink" Target="https://worldsteel.org/data/world-steel-in-figures-2024/" TargetMode="External"/><Relationship Id="rId1" Type="http://schemas.openxmlformats.org/officeDocument/2006/relationships/hyperlink" Target="https://www.sciencedirect.com/science/article/pii/S2352550922003037" TargetMode="External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hyperlink" Target="https://www.spglobal.com/market-intelligence/en/news-insights/research/nickel-industry-margins-surged-in-2021-amid-stronger-nickel-prices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wi.uni-koeln.de/cms/wp-content/uploads/2022/12/221209_EWI_H2-Steel_Low-carbon-steel.pdf" TargetMode="External"/><Relationship Id="rId13" Type="http://schemas.openxmlformats.org/officeDocument/2006/relationships/hyperlink" Target="https://documents1.worldbank.org/curated/en/099222003082337952/pdf/P1740030ce87ae0650ad6c0f93f0b5f9c91.pdf" TargetMode="External"/><Relationship Id="rId18" Type="http://schemas.microsoft.com/office/2017/10/relationships/threadedComment" Target="../threadedComments/threadedComment7.xml"/><Relationship Id="rId3" Type="http://schemas.openxmlformats.org/officeDocument/2006/relationships/hyperlink" Target="https://www.google.com/url?sa=t&amp;source=web&amp;rct=j&amp;opi=89978449&amp;url=https://publications.jrc.ec.europa.eu/repository/bitstream/JRC129297/JRC129297_01.pdf&amp;ved=2ahUKEwiesvq-6I2JAxWg2wIHHcChN1wQFnoECEEQAQ&amp;usg=AOvVaw2fK4Q1YS9OcRGHpLWYkvm6" TargetMode="External"/><Relationship Id="rId7" Type="http://schemas.openxmlformats.org/officeDocument/2006/relationships/hyperlink" Target="https://www.ewi.uni-koeln.de/cms/wp-content/uploads/2022/12/221209_EWI_H2-Steel_Low-carbon-steel.pdf" TargetMode="External"/><Relationship Id="rId12" Type="http://schemas.openxmlformats.org/officeDocument/2006/relationships/hyperlink" Target="https://transitionasia.org/green-steel-economics-south-korea-factsheet/" TargetMode="External"/><Relationship Id="rId17" Type="http://schemas.openxmlformats.org/officeDocument/2006/relationships/comments" Target="../comments7.xml"/><Relationship Id="rId2" Type="http://schemas.openxmlformats.org/officeDocument/2006/relationships/hyperlink" Target="https://www.sciencedirect.com/science/article/pii/S0921344916301458" TargetMode="External"/><Relationship Id="rId16" Type="http://schemas.openxmlformats.org/officeDocument/2006/relationships/vmlDrawing" Target="../drawings/vmlDrawing7.vml"/><Relationship Id="rId1" Type="http://schemas.openxmlformats.org/officeDocument/2006/relationships/hyperlink" Target="https://static1.squarespace.com/static/5877e86f9de4bb8bce72105c/t/624d11ab5a37a4341fd85a6e/1649217981897/Aluminum+benchmarking+report-+Feb2022+rev2.pdf" TargetMode="External"/><Relationship Id="rId6" Type="http://schemas.openxmlformats.org/officeDocument/2006/relationships/hyperlink" Target="https://www.ewi.uni-koeln.de/cms/wp-content/uploads/2022/12/221209_EWI_H2-Steel_Low-carbon-steel.pdf" TargetMode="External"/><Relationship Id="rId11" Type="http://schemas.openxmlformats.org/officeDocument/2006/relationships/hyperlink" Target="https://transitionasia.org/green-steel-economics-brazil-factsheet/" TargetMode="External"/><Relationship Id="rId5" Type="http://schemas.openxmlformats.org/officeDocument/2006/relationships/hyperlink" Target="https://www.ewi.uni-koeln.de/cms/wp-content/uploads/2022/12/221209_EWI_H2-Steel_Low-carbon-steel.pdf" TargetMode="External"/><Relationship Id="rId15" Type="http://schemas.openxmlformats.org/officeDocument/2006/relationships/drawing" Target="../drawings/drawing11.xml"/><Relationship Id="rId10" Type="http://schemas.openxmlformats.org/officeDocument/2006/relationships/hyperlink" Target="https://www.ewi.uni-koeln.de/cms/wp-content/uploads/2022/12/221209_EWI_H2-Steel_Low-carbon-steel.pdf" TargetMode="External"/><Relationship Id="rId4" Type="http://schemas.openxmlformats.org/officeDocument/2006/relationships/hyperlink" Target="https://www.ewi.uni-koeln.de/cms/wp-content/uploads/2022/12/221209_EWI_H2-Steel_Low-carbon-steel.pdf" TargetMode="External"/><Relationship Id="rId9" Type="http://schemas.openxmlformats.org/officeDocument/2006/relationships/hyperlink" Target="https://www.ewi.uni-koeln.de/cms/wp-content/uploads/2022/12/221209_EWI_H2-Steel_Low-carbon-steel.pdf" TargetMode="External"/><Relationship Id="rId14" Type="http://schemas.openxmlformats.org/officeDocument/2006/relationships/hyperlink" Target="https://www.sciencedirect.com/science/article/pii/S0301420716300824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unctadstat.unctad.org/datacentre/dataviewer/US.TransportCosts" TargetMode="External"/><Relationship Id="rId1" Type="http://schemas.openxmlformats.org/officeDocument/2006/relationships/hyperlink" Target="https://unctadstat.unctad.org/datacentre/dataviewer/US.TransportCo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C0FD-D32C-4241-B824-0BC34A505FB4}">
  <dimension ref="A2:H12"/>
  <sheetViews>
    <sheetView workbookViewId="0">
      <selection activeCell="A2" sqref="A2:G12"/>
    </sheetView>
  </sheetViews>
  <sheetFormatPr baseColWidth="10" defaultRowHeight="16"/>
  <cols>
    <col min="1" max="1" width="23.33203125" bestFit="1" customWidth="1"/>
    <col min="2" max="2" width="23.6640625" bestFit="1" customWidth="1"/>
    <col min="3" max="3" width="15" bestFit="1" customWidth="1"/>
    <col min="4" max="4" width="12.83203125" bestFit="1" customWidth="1"/>
    <col min="5" max="5" width="10.1640625" customWidth="1"/>
    <col min="6" max="6" width="12.5" bestFit="1" customWidth="1"/>
    <col min="7" max="7" width="15" bestFit="1" customWidth="1"/>
  </cols>
  <sheetData>
    <row r="2" spans="1:8">
      <c r="A2" s="79"/>
      <c r="B2" s="80" t="s">
        <v>793</v>
      </c>
      <c r="C2" s="80" t="s">
        <v>794</v>
      </c>
      <c r="D2" s="80" t="s">
        <v>795</v>
      </c>
      <c r="E2" s="80" t="s">
        <v>665</v>
      </c>
      <c r="F2" s="80" t="s">
        <v>463</v>
      </c>
      <c r="G2" s="80" t="s">
        <v>796</v>
      </c>
      <c r="H2" s="1" t="s">
        <v>514</v>
      </c>
    </row>
    <row r="3" spans="1:8" ht="16" customHeight="1">
      <c r="A3" s="136" t="s">
        <v>805</v>
      </c>
      <c r="B3" s="76" t="s">
        <v>800</v>
      </c>
      <c r="C3" s="123" t="s">
        <v>798</v>
      </c>
      <c r="D3" s="123">
        <v>0</v>
      </c>
      <c r="E3" s="123" t="s">
        <v>798</v>
      </c>
      <c r="F3" s="123" t="s">
        <v>801</v>
      </c>
      <c r="G3" s="123" t="s">
        <v>801</v>
      </c>
      <c r="H3" t="s">
        <v>808</v>
      </c>
    </row>
    <row r="4" spans="1:8">
      <c r="A4" s="137"/>
      <c r="B4" t="s">
        <v>802</v>
      </c>
      <c r="C4" s="13" t="s">
        <v>798</v>
      </c>
      <c r="D4" s="13">
        <v>0</v>
      </c>
      <c r="E4" s="13" t="s">
        <v>798</v>
      </c>
      <c r="F4" s="13" t="s">
        <v>801</v>
      </c>
      <c r="G4" s="13" t="s">
        <v>801</v>
      </c>
      <c r="H4" t="s">
        <v>808</v>
      </c>
    </row>
    <row r="5" spans="1:8">
      <c r="A5" s="137"/>
      <c r="B5" t="s">
        <v>803</v>
      </c>
      <c r="C5" s="13" t="s">
        <v>798</v>
      </c>
      <c r="D5" s="13">
        <v>0</v>
      </c>
      <c r="E5" s="13" t="s">
        <v>798</v>
      </c>
      <c r="F5" s="13" t="s">
        <v>801</v>
      </c>
      <c r="G5" s="13" t="s">
        <v>801</v>
      </c>
    </row>
    <row r="6" spans="1:8">
      <c r="A6" s="138"/>
      <c r="B6" s="77" t="s">
        <v>804</v>
      </c>
      <c r="C6" s="124" t="s">
        <v>798</v>
      </c>
      <c r="D6" s="124">
        <v>0</v>
      </c>
      <c r="E6" s="124" t="s">
        <v>798</v>
      </c>
      <c r="F6" s="124" t="s">
        <v>806</v>
      </c>
      <c r="G6" s="124" t="s">
        <v>799</v>
      </c>
    </row>
    <row r="7" spans="1:8">
      <c r="A7" s="136" t="s">
        <v>812</v>
      </c>
      <c r="B7" s="76" t="s">
        <v>797</v>
      </c>
      <c r="C7" s="123" t="s">
        <v>798</v>
      </c>
      <c r="D7" s="123">
        <v>0</v>
      </c>
      <c r="E7" s="123" t="s">
        <v>798</v>
      </c>
      <c r="F7" s="123" t="s">
        <v>801</v>
      </c>
      <c r="G7" s="123" t="s">
        <v>799</v>
      </c>
    </row>
    <row r="8" spans="1:8">
      <c r="A8" s="137"/>
      <c r="B8" t="s">
        <v>809</v>
      </c>
      <c r="C8" s="13" t="s">
        <v>798</v>
      </c>
      <c r="D8" s="13" t="s">
        <v>798</v>
      </c>
      <c r="E8" s="13" t="s">
        <v>798</v>
      </c>
      <c r="F8" s="13" t="s">
        <v>801</v>
      </c>
      <c r="G8" s="13" t="s">
        <v>799</v>
      </c>
    </row>
    <row r="9" spans="1:8">
      <c r="A9" s="138"/>
      <c r="B9" s="77" t="s">
        <v>810</v>
      </c>
      <c r="C9" s="124" t="s">
        <v>798</v>
      </c>
      <c r="D9" s="124">
        <v>0</v>
      </c>
      <c r="E9" s="124" t="s">
        <v>798</v>
      </c>
      <c r="F9" s="124" t="s">
        <v>801</v>
      </c>
      <c r="G9" s="124" t="s">
        <v>799</v>
      </c>
    </row>
    <row r="10" spans="1:8">
      <c r="A10" s="136" t="s">
        <v>815</v>
      </c>
      <c r="B10" s="76" t="s">
        <v>811</v>
      </c>
      <c r="C10" s="123" t="s">
        <v>798</v>
      </c>
      <c r="D10" s="123" t="s">
        <v>798</v>
      </c>
      <c r="E10" s="123" t="s">
        <v>798</v>
      </c>
      <c r="F10" s="123" t="s">
        <v>798</v>
      </c>
      <c r="G10" s="123" t="s">
        <v>807</v>
      </c>
    </row>
    <row r="11" spans="1:8">
      <c r="A11" s="138"/>
      <c r="B11" s="77" t="s">
        <v>813</v>
      </c>
      <c r="C11" s="124" t="s">
        <v>798</v>
      </c>
      <c r="D11" s="124" t="s">
        <v>798</v>
      </c>
      <c r="E11" s="123" t="s">
        <v>798</v>
      </c>
      <c r="F11" s="123" t="s">
        <v>798</v>
      </c>
      <c r="G11" s="124" t="s">
        <v>807</v>
      </c>
    </row>
    <row r="12" spans="1:8">
      <c r="A12" s="78" t="s">
        <v>816</v>
      </c>
      <c r="B12" s="79" t="s">
        <v>814</v>
      </c>
      <c r="C12" s="125" t="s">
        <v>798</v>
      </c>
      <c r="D12" s="125" t="s">
        <v>798</v>
      </c>
      <c r="E12" s="125" t="s">
        <v>798</v>
      </c>
      <c r="F12" s="125" t="s">
        <v>798</v>
      </c>
      <c r="G12" s="125" t="s">
        <v>807</v>
      </c>
    </row>
  </sheetData>
  <mergeCells count="3">
    <mergeCell ref="A3:A6"/>
    <mergeCell ref="A7:A9"/>
    <mergeCell ref="A10:A11"/>
  </mergeCells>
  <conditionalFormatting sqref="C3:G12">
    <cfRule type="containsText" dxfId="2" priority="1" operator="containsText" text="one value">
      <formula>NOT(ISERROR(SEARCH("one value",C3)))</formula>
    </cfRule>
    <cfRule type="containsText" dxfId="1" priority="2" operator="containsText" text="no">
      <formula>NOT(ISERROR(SEARCH("no",C3)))</formula>
    </cfRule>
    <cfRule type="containsText" dxfId="0" priority="3" operator="containsText" text="yes">
      <formula>NOT(ISERROR(SEARCH("yes",C3)))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5A27-DF1D-9F46-8AEF-67FA4696CE9E}">
  <dimension ref="A1:AA112"/>
  <sheetViews>
    <sheetView topLeftCell="E15" zoomScale="88" workbookViewId="0">
      <selection activeCell="J37" sqref="J37"/>
    </sheetView>
  </sheetViews>
  <sheetFormatPr baseColWidth="10" defaultRowHeight="16"/>
  <cols>
    <col min="1" max="1" width="22.6640625" customWidth="1"/>
    <col min="2" max="2" width="12.5" customWidth="1"/>
    <col min="3" max="3" width="27" bestFit="1" customWidth="1"/>
    <col min="4" max="4" width="16.83203125" customWidth="1"/>
    <col min="5" max="5" width="30.83203125" bestFit="1" customWidth="1"/>
    <col min="6" max="6" width="16.83203125" customWidth="1"/>
    <col min="7" max="7" width="18.1640625" bestFit="1" customWidth="1"/>
    <col min="8" max="8" width="14.1640625" bestFit="1" customWidth="1"/>
    <col min="9" max="9" width="33.5" bestFit="1" customWidth="1"/>
    <col min="10" max="10" width="31" bestFit="1" customWidth="1"/>
    <col min="11" max="11" width="15.1640625" bestFit="1" customWidth="1"/>
    <col min="12" max="12" width="14.83203125" bestFit="1" customWidth="1"/>
    <col min="13" max="13" width="14.1640625" bestFit="1" customWidth="1"/>
    <col min="14" max="15" width="13.6640625" bestFit="1" customWidth="1"/>
  </cols>
  <sheetData>
    <row r="1" spans="1:15" ht="1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12</v>
      </c>
      <c r="I1" s="1" t="s">
        <v>71</v>
      </c>
      <c r="J1" s="1" t="s">
        <v>97</v>
      </c>
    </row>
    <row r="2" spans="1:15">
      <c r="A2" t="s">
        <v>5</v>
      </c>
      <c r="B2">
        <v>2018</v>
      </c>
      <c r="C2" s="12">
        <f>198*10^6</f>
        <v>198000000</v>
      </c>
      <c r="D2" t="s">
        <v>7</v>
      </c>
      <c r="E2" t="s">
        <v>8</v>
      </c>
      <c r="F2" t="s">
        <v>9</v>
      </c>
      <c r="G2" t="s">
        <v>13</v>
      </c>
      <c r="I2" s="139" t="s">
        <v>72</v>
      </c>
      <c r="J2" s="141" t="s">
        <v>23</v>
      </c>
      <c r="K2" s="4" t="s">
        <v>25</v>
      </c>
      <c r="L2" s="4" t="s">
        <v>74</v>
      </c>
      <c r="O2" t="s">
        <v>727</v>
      </c>
    </row>
    <row r="3" spans="1:15" ht="17" thickBot="1">
      <c r="A3" t="s">
        <v>10</v>
      </c>
      <c r="B3">
        <v>2018</v>
      </c>
      <c r="C3" s="12">
        <f>13*10^6</f>
        <v>13000000</v>
      </c>
      <c r="D3" t="s">
        <v>7</v>
      </c>
      <c r="E3" t="s">
        <v>8</v>
      </c>
      <c r="F3" t="s">
        <v>9</v>
      </c>
      <c r="G3" t="s">
        <v>13</v>
      </c>
      <c r="I3" s="140"/>
      <c r="J3" s="142"/>
      <c r="K3" s="5" t="s">
        <v>73</v>
      </c>
      <c r="L3" s="5" t="s">
        <v>75</v>
      </c>
    </row>
    <row r="4" spans="1:15">
      <c r="A4" t="s">
        <v>16</v>
      </c>
      <c r="B4">
        <v>2017</v>
      </c>
      <c r="C4" s="12">
        <f>5.5*10^6</f>
        <v>5500000</v>
      </c>
      <c r="D4" t="s">
        <v>7</v>
      </c>
      <c r="E4" t="s">
        <v>8</v>
      </c>
      <c r="F4" t="s">
        <v>9</v>
      </c>
      <c r="G4" t="s">
        <v>13</v>
      </c>
      <c r="I4" s="6" t="s">
        <v>76</v>
      </c>
      <c r="J4" s="6" t="s">
        <v>77</v>
      </c>
      <c r="K4" s="3">
        <v>4.8</v>
      </c>
      <c r="L4" s="3">
        <v>20.239999999999998</v>
      </c>
    </row>
    <row r="5" spans="1:15">
      <c r="A5" t="s">
        <v>11</v>
      </c>
      <c r="B5">
        <v>2018</v>
      </c>
      <c r="C5" s="12">
        <f>4.1*10^6</f>
        <v>4099999.9999999995</v>
      </c>
      <c r="D5" t="s">
        <v>7</v>
      </c>
      <c r="E5" t="s">
        <v>8</v>
      </c>
      <c r="F5" t="s">
        <v>9</v>
      </c>
      <c r="G5" t="s">
        <v>13</v>
      </c>
      <c r="I5" s="6" t="s">
        <v>78</v>
      </c>
      <c r="J5" s="6" t="s">
        <v>79</v>
      </c>
      <c r="K5" s="3">
        <v>5.13</v>
      </c>
      <c r="L5" s="3">
        <v>21.64</v>
      </c>
    </row>
    <row r="6" spans="1:15">
      <c r="A6" t="s">
        <v>14</v>
      </c>
      <c r="B6">
        <v>2018</v>
      </c>
      <c r="C6" s="12">
        <f>3.5*10^6</f>
        <v>3500000</v>
      </c>
      <c r="D6" t="s">
        <v>7</v>
      </c>
      <c r="E6" t="s">
        <v>8</v>
      </c>
      <c r="F6" t="s">
        <v>9</v>
      </c>
      <c r="G6" t="s">
        <v>13</v>
      </c>
      <c r="I6" s="6" t="s">
        <v>80</v>
      </c>
      <c r="J6" s="6" t="s">
        <v>81</v>
      </c>
      <c r="K6" s="3">
        <v>0.56000000000000005</v>
      </c>
      <c r="L6" s="3">
        <v>2.36</v>
      </c>
    </row>
    <row r="7" spans="1:15">
      <c r="A7" t="s">
        <v>15</v>
      </c>
      <c r="B7">
        <v>2018</v>
      </c>
      <c r="C7" s="12">
        <v>790000</v>
      </c>
      <c r="D7" t="s">
        <v>7</v>
      </c>
      <c r="E7" t="s">
        <v>8</v>
      </c>
      <c r="F7" t="s">
        <v>9</v>
      </c>
      <c r="G7" t="s">
        <v>13</v>
      </c>
      <c r="I7" s="6" t="s">
        <v>82</v>
      </c>
      <c r="J7" s="6" t="s">
        <v>83</v>
      </c>
      <c r="K7" s="3">
        <v>0.19</v>
      </c>
      <c r="L7" s="3">
        <v>0.8</v>
      </c>
    </row>
    <row r="8" spans="1:15">
      <c r="A8" t="s">
        <v>17</v>
      </c>
      <c r="B8">
        <v>2017</v>
      </c>
      <c r="C8" s="12">
        <f>1*10^6</f>
        <v>1000000</v>
      </c>
      <c r="D8" t="s">
        <v>7</v>
      </c>
      <c r="E8" t="s">
        <v>8</v>
      </c>
      <c r="F8" t="s">
        <v>9</v>
      </c>
      <c r="G8" t="s">
        <v>13</v>
      </c>
      <c r="I8" s="6" t="s">
        <v>84</v>
      </c>
      <c r="J8" s="6" t="s">
        <v>85</v>
      </c>
      <c r="K8" s="3">
        <v>7.8</v>
      </c>
      <c r="L8" s="3">
        <v>32.9</v>
      </c>
    </row>
    <row r="9" spans="1:15">
      <c r="A9" t="s">
        <v>18</v>
      </c>
      <c r="B9">
        <v>2017</v>
      </c>
      <c r="C9" s="12">
        <f>3*10^6</f>
        <v>3000000</v>
      </c>
      <c r="D9" t="s">
        <v>7</v>
      </c>
      <c r="E9" t="s">
        <v>8</v>
      </c>
      <c r="F9" t="s">
        <v>9</v>
      </c>
      <c r="G9" t="s">
        <v>13</v>
      </c>
      <c r="I9" s="6" t="s">
        <v>86</v>
      </c>
      <c r="J9" s="6" t="s">
        <v>87</v>
      </c>
      <c r="K9" s="3">
        <v>2.2599999999999998</v>
      </c>
      <c r="L9" s="3">
        <v>9.5299999999999994</v>
      </c>
    </row>
    <row r="10" spans="1:15">
      <c r="A10" t="s">
        <v>19</v>
      </c>
      <c r="B10">
        <v>2017</v>
      </c>
      <c r="C10" s="12">
        <f>1.9*10^6</f>
        <v>1900000</v>
      </c>
      <c r="D10" t="s">
        <v>7</v>
      </c>
      <c r="E10" t="s">
        <v>8</v>
      </c>
      <c r="F10" t="s">
        <v>9</v>
      </c>
      <c r="G10" t="s">
        <v>13</v>
      </c>
      <c r="I10" s="7"/>
      <c r="J10" s="6" t="s">
        <v>88</v>
      </c>
      <c r="K10" s="3">
        <v>0.44</v>
      </c>
      <c r="L10" s="3">
        <v>1.86</v>
      </c>
    </row>
    <row r="11" spans="1:15">
      <c r="A11" t="s">
        <v>439</v>
      </c>
      <c r="C11">
        <f>0.8*10^6</f>
        <v>800000</v>
      </c>
      <c r="D11" t="s">
        <v>7</v>
      </c>
      <c r="F11" t="s">
        <v>9</v>
      </c>
      <c r="I11" s="6" t="s">
        <v>89</v>
      </c>
      <c r="J11" s="6" t="s">
        <v>90</v>
      </c>
      <c r="K11" s="3">
        <v>0.37</v>
      </c>
      <c r="L11" s="3">
        <v>1.56</v>
      </c>
    </row>
    <row r="12" spans="1:15">
      <c r="A12" t="s">
        <v>642</v>
      </c>
      <c r="C12">
        <v>8000</v>
      </c>
      <c r="D12" t="s">
        <v>7</v>
      </c>
      <c r="F12" t="s">
        <v>9</v>
      </c>
      <c r="I12" s="6" t="s">
        <v>91</v>
      </c>
      <c r="J12" s="6" t="s">
        <v>49</v>
      </c>
      <c r="K12" s="3">
        <v>1.5</v>
      </c>
      <c r="L12" s="3">
        <v>6.33</v>
      </c>
    </row>
    <row r="13" spans="1:15">
      <c r="I13" s="6"/>
      <c r="J13" s="6"/>
      <c r="K13" s="3"/>
      <c r="L13" s="3"/>
    </row>
    <row r="14" spans="1:15">
      <c r="A14" s="1" t="s">
        <v>139</v>
      </c>
      <c r="B14" s="1" t="s">
        <v>1</v>
      </c>
      <c r="C14" s="1" t="s">
        <v>243</v>
      </c>
      <c r="D14" s="1" t="s">
        <v>3</v>
      </c>
      <c r="E14" s="1" t="s">
        <v>142</v>
      </c>
      <c r="F14" s="65" t="s">
        <v>722</v>
      </c>
      <c r="I14" s="6" t="s">
        <v>92</v>
      </c>
      <c r="J14" s="6" t="s">
        <v>93</v>
      </c>
      <c r="K14" s="3">
        <v>0.65300000000000002</v>
      </c>
      <c r="L14" s="3">
        <v>2.75</v>
      </c>
    </row>
    <row r="15" spans="1:15" ht="17" thickBot="1">
      <c r="A15" t="s">
        <v>197</v>
      </c>
      <c r="B15">
        <v>2021</v>
      </c>
      <c r="C15" s="12">
        <f>805.9*10^6</f>
        <v>805900000</v>
      </c>
      <c r="D15" t="s">
        <v>247</v>
      </c>
      <c r="E15" t="s">
        <v>248</v>
      </c>
      <c r="F15" s="66">
        <f>C17/C7</f>
        <v>341.39240506329116</v>
      </c>
      <c r="I15" s="8" t="s">
        <v>94</v>
      </c>
      <c r="J15" s="8" t="s">
        <v>95</v>
      </c>
      <c r="K15" s="3">
        <v>8.0000000000000002E-3</v>
      </c>
      <c r="L15" s="3">
        <v>0.03</v>
      </c>
    </row>
    <row r="16" spans="1:15" ht="17" thickBot="1">
      <c r="A16" t="s">
        <v>244</v>
      </c>
      <c r="B16">
        <v>2021</v>
      </c>
      <c r="C16" s="12">
        <f>349.1*10^6</f>
        <v>349100000</v>
      </c>
      <c r="D16" t="s">
        <v>247</v>
      </c>
      <c r="E16" t="s">
        <v>249</v>
      </c>
      <c r="I16" s="8" t="s">
        <v>96</v>
      </c>
      <c r="J16" s="9"/>
      <c r="K16" s="10">
        <v>23.710999999999999</v>
      </c>
      <c r="L16" s="10">
        <v>100</v>
      </c>
    </row>
    <row r="17" spans="1:13">
      <c r="A17" t="s">
        <v>193</v>
      </c>
      <c r="B17">
        <v>2021</v>
      </c>
      <c r="C17" s="12">
        <f>269.7*10^6</f>
        <v>269700000</v>
      </c>
      <c r="D17" t="s">
        <v>247</v>
      </c>
      <c r="E17" t="s">
        <v>250</v>
      </c>
      <c r="I17" s="6" t="s">
        <v>98</v>
      </c>
      <c r="K17" s="11">
        <f>(K5+K6+K8+K7)/K16</f>
        <v>0.57694740837585923</v>
      </c>
      <c r="L17">
        <f>L5+L6+L8+L7</f>
        <v>57.699999999999996</v>
      </c>
      <c r="M17" t="s">
        <v>100</v>
      </c>
    </row>
    <row r="18" spans="1:13">
      <c r="A18" t="s">
        <v>245</v>
      </c>
      <c r="B18">
        <v>2021</v>
      </c>
      <c r="C18" s="12">
        <f>181.6*10^6</f>
        <v>181600000</v>
      </c>
      <c r="D18" t="s">
        <v>247</v>
      </c>
      <c r="E18" t="s">
        <v>251</v>
      </c>
      <c r="I18" s="6" t="s">
        <v>99</v>
      </c>
      <c r="K18" s="11">
        <f>SUM(K9:K10)/K16</f>
        <v>0.11387119902155117</v>
      </c>
      <c r="L18">
        <f>SUM(L9:L10)</f>
        <v>11.389999999999999</v>
      </c>
      <c r="M18" t="s">
        <v>101</v>
      </c>
    </row>
    <row r="19" spans="1:13">
      <c r="A19" t="s">
        <v>246</v>
      </c>
      <c r="B19">
        <v>2021</v>
      </c>
      <c r="C19" s="12">
        <f>166.4*10^6</f>
        <v>166400000</v>
      </c>
      <c r="D19" t="s">
        <v>247</v>
      </c>
      <c r="E19" t="s">
        <v>252</v>
      </c>
      <c r="I19" s="6" t="s">
        <v>901</v>
      </c>
      <c r="K19" s="3">
        <v>2</v>
      </c>
      <c r="L19" t="s">
        <v>902</v>
      </c>
      <c r="M19" t="s">
        <v>904</v>
      </c>
    </row>
    <row r="20" spans="1:13">
      <c r="A20" t="s">
        <v>205</v>
      </c>
      <c r="B20">
        <v>2021</v>
      </c>
      <c r="C20" s="12">
        <f>60.9*10^6</f>
        <v>60900000</v>
      </c>
      <c r="D20" t="s">
        <v>247</v>
      </c>
      <c r="E20" t="s">
        <v>253</v>
      </c>
    </row>
    <row r="21" spans="1:13" ht="17" customHeight="1">
      <c r="A21" t="s">
        <v>184</v>
      </c>
      <c r="B21">
        <v>2024</v>
      </c>
      <c r="C21" s="12">
        <f>4.6*10^9*0.84</f>
        <v>3864000000</v>
      </c>
      <c r="D21" t="s">
        <v>247</v>
      </c>
      <c r="E21" t="s">
        <v>724</v>
      </c>
    </row>
    <row r="22" spans="1:13" ht="17" customHeight="1">
      <c r="A22" t="s">
        <v>242</v>
      </c>
      <c r="C22">
        <f>486*10^6</f>
        <v>486000000</v>
      </c>
      <c r="D22" t="s">
        <v>306</v>
      </c>
      <c r="E22" t="s">
        <v>727</v>
      </c>
    </row>
    <row r="23" spans="1:13" ht="17" customHeight="1">
      <c r="A23" t="s">
        <v>242</v>
      </c>
      <c r="C23">
        <f>42.4*10^9*0.84</f>
        <v>35616000000</v>
      </c>
      <c r="D23" t="s">
        <v>247</v>
      </c>
      <c r="E23" t="s">
        <v>727</v>
      </c>
    </row>
    <row r="24" spans="1:13">
      <c r="A24" s="1" t="s">
        <v>0</v>
      </c>
      <c r="B24" s="1" t="s">
        <v>1</v>
      </c>
      <c r="C24" s="1" t="s">
        <v>409</v>
      </c>
      <c r="D24" s="1" t="s">
        <v>3</v>
      </c>
      <c r="E24" s="1" t="s">
        <v>410</v>
      </c>
      <c r="F24" s="1" t="s">
        <v>4</v>
      </c>
      <c r="G24" s="1" t="s">
        <v>12</v>
      </c>
    </row>
    <row r="25" spans="1:13">
      <c r="A25" t="s">
        <v>5</v>
      </c>
      <c r="B25">
        <v>2023</v>
      </c>
      <c r="C25" s="12">
        <f>6673.5*1000</f>
        <v>6673500</v>
      </c>
      <c r="D25" t="s">
        <v>306</v>
      </c>
      <c r="E25" s="43">
        <v>2.4E-2</v>
      </c>
      <c r="F25" s="38" t="s">
        <v>408</v>
      </c>
    </row>
    <row r="27" spans="1:13">
      <c r="B27" s="1" t="s">
        <v>2</v>
      </c>
      <c r="C27" t="s">
        <v>718</v>
      </c>
      <c r="E27" t="s">
        <v>141</v>
      </c>
      <c r="F27" t="s">
        <v>458</v>
      </c>
      <c r="I27" t="s">
        <v>313</v>
      </c>
    </row>
    <row r="28" spans="1:13">
      <c r="A28" s="1" t="s">
        <v>540</v>
      </c>
      <c r="B28" s="12">
        <f>218*10^6*0.84</f>
        <v>183120000</v>
      </c>
      <c r="C28" t="s">
        <v>718</v>
      </c>
      <c r="D28" s="49">
        <f>B28/'cost estimate'!$B$6*'cost estimate'!$B$31/10^6</f>
        <v>1.302567625531915</v>
      </c>
      <c r="E28" t="s">
        <v>185</v>
      </c>
      <c r="I28" s="26">
        <v>5.8999999999999997E-2</v>
      </c>
      <c r="J28" t="s">
        <v>725</v>
      </c>
    </row>
    <row r="29" spans="1:13">
      <c r="A29" s="1" t="s">
        <v>541</v>
      </c>
      <c r="B29">
        <v>0</v>
      </c>
      <c r="C29" t="s">
        <v>718</v>
      </c>
      <c r="D29" s="49">
        <v>0</v>
      </c>
      <c r="E29" t="s">
        <v>185</v>
      </c>
      <c r="I29" s="26">
        <v>0.17599999999999999</v>
      </c>
      <c r="J29" t="s">
        <v>738</v>
      </c>
    </row>
    <row r="30" spans="1:13">
      <c r="A30" s="1" t="s">
        <v>542</v>
      </c>
      <c r="B30" s="12">
        <f>900*1000</f>
        <v>900000</v>
      </c>
      <c r="C30" t="s">
        <v>7</v>
      </c>
      <c r="D30" s="49">
        <f>B30*'cost estimate'!$B$31/10^6*$B$49</f>
        <v>7.2</v>
      </c>
      <c r="E30" t="s">
        <v>185</v>
      </c>
      <c r="I30" s="26">
        <v>0.03</v>
      </c>
      <c r="J30" t="s">
        <v>903</v>
      </c>
    </row>
    <row r="31" spans="1:13">
      <c r="A31" s="1" t="s">
        <v>539</v>
      </c>
      <c r="B31" s="12">
        <f>6673.5*1000</f>
        <v>6673500</v>
      </c>
      <c r="C31" t="s">
        <v>7</v>
      </c>
      <c r="D31" s="49">
        <f>B31*'cost estimate'!$B$31/10^6*$B$49</f>
        <v>53.387999999999998</v>
      </c>
      <c r="E31" t="s">
        <v>185</v>
      </c>
      <c r="I31" s="26">
        <v>7.8E-2</v>
      </c>
      <c r="J31" t="s">
        <v>726</v>
      </c>
    </row>
    <row r="32" spans="1:13">
      <c r="A32" s="1" t="s">
        <v>543</v>
      </c>
      <c r="B32" s="12">
        <f>269.7*10^6</f>
        <v>269700000</v>
      </c>
      <c r="C32" t="s">
        <v>718</v>
      </c>
      <c r="D32" s="49">
        <f>B32/'cost estimate'!$B$6*'cost estimate'!$B$31/10^6</f>
        <v>1.9184277446808511</v>
      </c>
      <c r="E32" t="s">
        <v>185</v>
      </c>
      <c r="I32" s="26">
        <v>0.17599999999999999</v>
      </c>
    </row>
    <row r="33" spans="1:10">
      <c r="A33" s="1" t="s">
        <v>544</v>
      </c>
      <c r="B33">
        <f>805.9*10^6</f>
        <v>805900000</v>
      </c>
      <c r="C33" t="s">
        <v>718</v>
      </c>
      <c r="D33" s="49">
        <f>B33/'cost estimate'!$B$6*'cost estimate'!$B$31/10^6</f>
        <v>5.7325210212765949</v>
      </c>
      <c r="E33" t="s">
        <v>185</v>
      </c>
      <c r="F33" s="12"/>
      <c r="G33" s="49"/>
      <c r="I33" s="26">
        <v>0.17599999999999999</v>
      </c>
    </row>
    <row r="34" spans="1:10">
      <c r="A34" s="1" t="s">
        <v>545</v>
      </c>
      <c r="B34">
        <f>166.4*10^6</f>
        <v>166400000</v>
      </c>
      <c r="C34" t="s">
        <v>718</v>
      </c>
      <c r="D34" s="49">
        <f>B34/'cost estimate'!$B$6*'cost estimate'!$B$31/10^6</f>
        <v>1.183635063829787</v>
      </c>
      <c r="E34" t="s">
        <v>185</v>
      </c>
      <c r="F34" s="12"/>
      <c r="I34" s="26">
        <v>0.17599999999999999</v>
      </c>
    </row>
    <row r="35" spans="1:10">
      <c r="A35" s="1" t="s">
        <v>546</v>
      </c>
      <c r="B35" s="12">
        <f>4.1*10^6</f>
        <v>4099999.9999999995</v>
      </c>
      <c r="C35" t="s">
        <v>7</v>
      </c>
      <c r="D35" s="49">
        <f>B35*K19/10^6*$B$49</f>
        <v>8.1999999999999993</v>
      </c>
      <c r="E35" t="s">
        <v>185</v>
      </c>
      <c r="I35" s="26">
        <v>7.8E-2</v>
      </c>
      <c r="J35" s="38" t="s">
        <v>726</v>
      </c>
    </row>
    <row r="36" spans="1:10">
      <c r="A36" s="1" t="s">
        <v>547</v>
      </c>
      <c r="B36" s="12">
        <f>754*10^6*0.84</f>
        <v>633360000</v>
      </c>
      <c r="C36" t="s">
        <v>718</v>
      </c>
      <c r="D36" s="49">
        <f>B36/'cost estimate'!$B$6*'cost estimate'!$B$31/10^6</f>
        <v>4.5052109617021268</v>
      </c>
      <c r="E36" t="s">
        <v>185</v>
      </c>
      <c r="I36" s="26">
        <v>7.8E-2</v>
      </c>
      <c r="J36" t="s">
        <v>900</v>
      </c>
    </row>
    <row r="37" spans="1:10" ht="18">
      <c r="A37" s="1" t="s">
        <v>548</v>
      </c>
      <c r="B37" s="12">
        <f>(4.6*10^9*0.84-B32-B33-B34-B29)</f>
        <v>2622000000</v>
      </c>
      <c r="C37" t="s">
        <v>718</v>
      </c>
      <c r="D37" s="49">
        <f>B37/'cost estimate'!$B$6*'cost estimate'!$B$31/10^6</f>
        <v>18.650788085106381</v>
      </c>
      <c r="E37" t="s">
        <v>185</v>
      </c>
      <c r="F37" s="60">
        <v>850.33</v>
      </c>
      <c r="I37" s="26">
        <v>0.17599999999999999</v>
      </c>
      <c r="J37" s="38" t="s">
        <v>724</v>
      </c>
    </row>
    <row r="38" spans="1:10" ht="18">
      <c r="A38" s="1" t="s">
        <v>449</v>
      </c>
      <c r="B38">
        <f>B51*10^9*0.84</f>
        <v>19118399999.999996</v>
      </c>
      <c r="C38" t="s">
        <v>718</v>
      </c>
      <c r="D38" s="49">
        <f>(B38/'cost estimate'!$B$6*'cost estimate'!$B$31/10^6)-SUM(D28:D37,D39)</f>
        <v>25.911689668085046</v>
      </c>
      <c r="E38" t="s">
        <v>185</v>
      </c>
      <c r="F38" s="60">
        <v>836.2</v>
      </c>
      <c r="G38" t="s">
        <v>693</v>
      </c>
      <c r="H38" t="s">
        <v>694</v>
      </c>
      <c r="I38" s="26">
        <v>0.13766666666666699</v>
      </c>
      <c r="J38" t="s">
        <v>726</v>
      </c>
    </row>
    <row r="39" spans="1:10">
      <c r="A39" s="1" t="s">
        <v>214</v>
      </c>
      <c r="B39" s="12">
        <f>1*10^6</f>
        <v>1000000</v>
      </c>
      <c r="C39" t="s">
        <v>7</v>
      </c>
      <c r="D39" s="49">
        <f>B39*'cost estimate'!$B$31/10^6*$B$49</f>
        <v>8</v>
      </c>
      <c r="E39" t="s">
        <v>185</v>
      </c>
      <c r="I39" s="26">
        <v>5.7000000000000002E-2</v>
      </c>
    </row>
    <row r="42" spans="1:10">
      <c r="A42" s="1" t="s">
        <v>728</v>
      </c>
      <c r="B42">
        <v>46.7</v>
      </c>
      <c r="C42" t="s">
        <v>730</v>
      </c>
      <c r="D42">
        <v>5.3</v>
      </c>
      <c r="E42" t="s">
        <v>727</v>
      </c>
      <c r="F42" t="s">
        <v>732</v>
      </c>
    </row>
    <row r="43" spans="1:10">
      <c r="A43" s="1" t="s">
        <v>728</v>
      </c>
      <c r="B43">
        <v>25.9</v>
      </c>
      <c r="C43" t="s">
        <v>730</v>
      </c>
      <c r="D43">
        <v>5</v>
      </c>
      <c r="E43" t="s">
        <v>733</v>
      </c>
    </row>
    <row r="44" spans="1:10">
      <c r="A44" s="1" t="s">
        <v>780</v>
      </c>
      <c r="B44">
        <f>AVERAGE(B42:B43)</f>
        <v>36.299999999999997</v>
      </c>
    </row>
    <row r="45" spans="1:10">
      <c r="A45" s="1" t="s">
        <v>729</v>
      </c>
      <c r="B45">
        <f>13.9</f>
        <v>13.9</v>
      </c>
      <c r="C45" t="s">
        <v>730</v>
      </c>
      <c r="D45">
        <v>13.7</v>
      </c>
      <c r="E45" t="s">
        <v>731</v>
      </c>
    </row>
    <row r="46" spans="1:10">
      <c r="A46" s="1" t="s">
        <v>729</v>
      </c>
      <c r="B46">
        <v>13.1</v>
      </c>
      <c r="C46" t="s">
        <v>730</v>
      </c>
      <c r="D46">
        <v>13.7</v>
      </c>
      <c r="E46" t="s">
        <v>734</v>
      </c>
    </row>
    <row r="47" spans="1:10">
      <c r="A47" s="1" t="s">
        <v>729</v>
      </c>
      <c r="B47">
        <v>14.2</v>
      </c>
      <c r="C47" t="s">
        <v>730</v>
      </c>
      <c r="D47">
        <v>13.9</v>
      </c>
      <c r="E47" t="s">
        <v>735</v>
      </c>
    </row>
    <row r="48" spans="1:10">
      <c r="A48" s="1" t="s">
        <v>737</v>
      </c>
      <c r="B48">
        <f>AVERAGE(B45:B47)</f>
        <v>13.733333333333334</v>
      </c>
      <c r="D48">
        <f>AVERAGE(D45:D47)</f>
        <v>13.766666666666666</v>
      </c>
    </row>
    <row r="49" spans="1:13">
      <c r="A49" s="1" t="s">
        <v>736</v>
      </c>
      <c r="B49">
        <v>1</v>
      </c>
    </row>
    <row r="50" spans="1:13">
      <c r="B50">
        <v>0.37832874196510563</v>
      </c>
    </row>
    <row r="51" spans="1:13">
      <c r="A51" s="1" t="s">
        <v>898</v>
      </c>
      <c r="B51">
        <f>AVERAGE(B42:B43,B45:B47)</f>
        <v>22.759999999999998</v>
      </c>
    </row>
    <row r="53" spans="1:13">
      <c r="A53" s="1" t="s">
        <v>176</v>
      </c>
      <c r="B53" s="1" t="s">
        <v>540</v>
      </c>
      <c r="C53" s="1" t="s">
        <v>541</v>
      </c>
      <c r="D53" s="1" t="s">
        <v>542</v>
      </c>
      <c r="E53" s="1" t="s">
        <v>539</v>
      </c>
      <c r="F53" s="1" t="s">
        <v>543</v>
      </c>
      <c r="G53" s="1" t="s">
        <v>544</v>
      </c>
      <c r="H53" s="1" t="s">
        <v>545</v>
      </c>
      <c r="I53" s="1" t="s">
        <v>546</v>
      </c>
      <c r="J53" s="1" t="s">
        <v>547</v>
      </c>
      <c r="K53" s="1" t="s">
        <v>548</v>
      </c>
      <c r="L53" s="1" t="s">
        <v>449</v>
      </c>
      <c r="M53" s="1" t="s">
        <v>214</v>
      </c>
    </row>
    <row r="54" spans="1:13">
      <c r="A54">
        <v>2022</v>
      </c>
      <c r="B54" s="49">
        <v>1.302567625531915</v>
      </c>
      <c r="C54">
        <v>0</v>
      </c>
      <c r="D54" s="49">
        <f>D30</f>
        <v>7.2</v>
      </c>
      <c r="E54" s="49">
        <v>53.387999999999998</v>
      </c>
      <c r="F54" s="49">
        <v>1.9184277446808511</v>
      </c>
      <c r="G54" s="49">
        <v>5.7325210212765949</v>
      </c>
      <c r="H54" s="49">
        <v>1.183635063829787</v>
      </c>
      <c r="I54" s="49">
        <f>D35</f>
        <v>8.1999999999999993</v>
      </c>
      <c r="J54" s="49">
        <f>D36</f>
        <v>4.5052109617021268</v>
      </c>
      <c r="K54">
        <v>18.650788085106381</v>
      </c>
      <c r="L54" s="49">
        <f>D38</f>
        <v>25.911689668085046</v>
      </c>
      <c r="M54">
        <v>8</v>
      </c>
    </row>
    <row r="55" spans="1:13">
      <c r="A55">
        <v>2023</v>
      </c>
      <c r="B55" s="48">
        <f>B$54*(1+$I$28)^($A55-$A$54)</f>
        <v>1.3794191154382978</v>
      </c>
      <c r="C55" s="48">
        <f>C$54*(1+$I$29)^($A55-$A$54)</f>
        <v>0</v>
      </c>
      <c r="D55" s="48">
        <f>D$54*(1+$I$30)^($A55-$A$54)</f>
        <v>7.4160000000000004</v>
      </c>
      <c r="E55" s="48">
        <f>E$54*(1+$I$31)^($A55-$A$54)</f>
        <v>57.552264000000001</v>
      </c>
      <c r="F55" s="48">
        <f>F$54*(1+$I$32)^($A55-$A$54)</f>
        <v>2.2560710277446807</v>
      </c>
      <c r="G55" s="48">
        <f>G$54*(1+$I$33)^($A55-$A$54)</f>
        <v>6.7414447210212751</v>
      </c>
      <c r="H55" s="48">
        <f>H$54*(1+$I$34)^($A55-$A$54)</f>
        <v>1.3919548350638293</v>
      </c>
      <c r="I55" s="48">
        <f>I$54*(1+$I$35)^($A55-$A$54)</f>
        <v>8.839599999999999</v>
      </c>
      <c r="J55" s="48">
        <f>J$54*(1+$I$36)^($A55-$A$54)</f>
        <v>4.8566174167148928</v>
      </c>
      <c r="K55" s="48">
        <f>K$54*(1+$I$37)^($A55-$A$54)</f>
        <v>21.933326788085104</v>
      </c>
      <c r="L55" s="48">
        <f>L$54*(1+$I$38)^($A55-$A$54)</f>
        <v>29.478865612391431</v>
      </c>
      <c r="M55" s="48">
        <f>M$54*(1+$I$39)^($A55-$A$54)</f>
        <v>8.4559999999999995</v>
      </c>
    </row>
    <row r="56" spans="1:13">
      <c r="A56">
        <v>2024</v>
      </c>
      <c r="B56" s="48">
        <f t="shared" ref="B56:B67" si="0">B$54*(1+$I$28)^($A56-$A$54)</f>
        <v>1.4608048432491574</v>
      </c>
      <c r="C56" s="48">
        <f t="shared" ref="C56:C67" si="1">C$54*(1+$I$29)^($A56-$A$54)</f>
        <v>0</v>
      </c>
      <c r="D56" s="48">
        <f t="shared" ref="D56:D67" si="2">D$54*(1+$I$30)^($A56-$A$54)</f>
        <v>7.6384799999999995</v>
      </c>
      <c r="E56" s="48">
        <f t="shared" ref="E56:E67" si="3">E$54*(1+$I$31)^($A56-$A$54)</f>
        <v>62.041340592000005</v>
      </c>
      <c r="F56" s="48">
        <f t="shared" ref="F56:F67" si="4">F$54*(1+$I$32)^($A56-$A$54)</f>
        <v>2.6531395286277442</v>
      </c>
      <c r="G56" s="48">
        <f t="shared" ref="G56:G67" si="5">G$54*(1+$I$33)^($A56-$A$54)</f>
        <v>7.9279389919210184</v>
      </c>
      <c r="H56" s="48">
        <f t="shared" ref="H56:H67" si="6">H$54*(1+$I$34)^($A56-$A$54)</f>
        <v>1.6369388860350633</v>
      </c>
      <c r="I56" s="48">
        <f t="shared" ref="I56:I67" si="7">I$54*(1+$I$35)^($A56-$A$54)</f>
        <v>9.5290888000000002</v>
      </c>
      <c r="J56" s="48">
        <f t="shared" ref="J56:J67" si="8">J$54*(1+$I$36)^($A56-$A$54)</f>
        <v>5.2354335752186545</v>
      </c>
      <c r="K56" s="48">
        <f t="shared" ref="K56:K67" si="9">K$54*(1+$I$37)^($A56-$A$54)</f>
        <v>25.793592302788078</v>
      </c>
      <c r="L56" s="48">
        <f t="shared" ref="L56:L67" si="10">L$54*(1+$I$38)^($A56-$A$54)</f>
        <v>33.537122778363994</v>
      </c>
      <c r="M56" s="48">
        <f t="shared" ref="M56:M67" si="11">M$54*(1+$I$39)^($A56-$A$54)</f>
        <v>8.9379919999999995</v>
      </c>
    </row>
    <row r="57" spans="1:13">
      <c r="A57">
        <v>2025</v>
      </c>
      <c r="B57" s="48">
        <f t="shared" si="0"/>
        <v>1.5469923290008576</v>
      </c>
      <c r="C57" s="48">
        <f t="shared" si="1"/>
        <v>0</v>
      </c>
      <c r="D57" s="48">
        <f t="shared" si="2"/>
        <v>7.8676344</v>
      </c>
      <c r="E57" s="48">
        <f>E$54*(1+$I$31)^($A57-$A$54)</f>
        <v>66.880565158176012</v>
      </c>
      <c r="F57" s="48">
        <f t="shared" si="4"/>
        <v>3.1200920856662271</v>
      </c>
      <c r="G57" s="48">
        <f t="shared" si="5"/>
        <v>9.3232562544991175</v>
      </c>
      <c r="H57" s="48">
        <f t="shared" si="6"/>
        <v>1.9250401299772342</v>
      </c>
      <c r="I57" s="48">
        <f t="shared" si="7"/>
        <v>10.272357726400001</v>
      </c>
      <c r="J57" s="48">
        <f t="shared" si="8"/>
        <v>5.64379739408571</v>
      </c>
      <c r="K57" s="48">
        <f t="shared" si="9"/>
        <v>30.333264548078777</v>
      </c>
      <c r="L57" s="48">
        <f t="shared" si="10"/>
        <v>38.154066680852125</v>
      </c>
      <c r="M57" s="48">
        <f t="shared" si="11"/>
        <v>9.4474575439999988</v>
      </c>
    </row>
    <row r="58" spans="1:13">
      <c r="A58">
        <v>2026</v>
      </c>
      <c r="B58" s="48">
        <f t="shared" si="0"/>
        <v>1.6382648764119083</v>
      </c>
      <c r="C58" s="48">
        <f t="shared" si="1"/>
        <v>0</v>
      </c>
      <c r="D58" s="48">
        <f t="shared" si="2"/>
        <v>8.1036634319999994</v>
      </c>
      <c r="E58" s="48">
        <f>E$54*(1+$I$31)^($A58-$A$54)</f>
        <v>72.097249240513747</v>
      </c>
      <c r="F58" s="48">
        <f t="shared" si="4"/>
        <v>3.6692282927434827</v>
      </c>
      <c r="G58" s="48">
        <f t="shared" si="5"/>
        <v>10.964149355290962</v>
      </c>
      <c r="H58" s="48">
        <f t="shared" si="6"/>
        <v>2.2638471928532273</v>
      </c>
      <c r="I58" s="48">
        <f t="shared" si="7"/>
        <v>11.073601629059201</v>
      </c>
      <c r="J58" s="48">
        <f t="shared" si="8"/>
        <v>6.0840135908243962</v>
      </c>
      <c r="K58" s="48">
        <f t="shared" si="9"/>
        <v>35.671919108540642</v>
      </c>
      <c r="L58" s="48">
        <f t="shared" si="10"/>
        <v>43.406609860582776</v>
      </c>
      <c r="M58" s="48">
        <f t="shared" si="11"/>
        <v>9.9859626240079997</v>
      </c>
    </row>
    <row r="59" spans="1:13">
      <c r="A59">
        <v>2027</v>
      </c>
      <c r="B59" s="48">
        <f t="shared" si="0"/>
        <v>1.7349225041202108</v>
      </c>
      <c r="C59" s="48">
        <f t="shared" si="1"/>
        <v>0</v>
      </c>
      <c r="D59" s="48">
        <f t="shared" si="2"/>
        <v>8.34677333496</v>
      </c>
      <c r="E59" s="48">
        <f t="shared" si="3"/>
        <v>77.720834681273814</v>
      </c>
      <c r="F59" s="48">
        <f t="shared" si="4"/>
        <v>4.3150124722663348</v>
      </c>
      <c r="G59" s="48">
        <f t="shared" si="5"/>
        <v>12.893839641822169</v>
      </c>
      <c r="H59" s="48">
        <f t="shared" si="6"/>
        <v>2.6622842987953947</v>
      </c>
      <c r="I59" s="48">
        <f t="shared" si="7"/>
        <v>11.93734255612582</v>
      </c>
      <c r="J59" s="48">
        <f t="shared" si="8"/>
        <v>6.5585666509086993</v>
      </c>
      <c r="K59" s="48">
        <f t="shared" si="9"/>
        <v>41.950176871643784</v>
      </c>
      <c r="L59" s="48">
        <f t="shared" si="10"/>
        <v>49.382253151389691</v>
      </c>
      <c r="M59" s="48">
        <f t="shared" si="11"/>
        <v>10.555162493576455</v>
      </c>
    </row>
    <row r="60" spans="1:13">
      <c r="A60">
        <v>2028</v>
      </c>
      <c r="B60" s="48">
        <f>B$54*(1+$I$28)^($A60-$A$54)</f>
        <v>1.837282931863303</v>
      </c>
      <c r="C60" s="48">
        <f t="shared" si="1"/>
        <v>0</v>
      </c>
      <c r="D60" s="48">
        <f t="shared" si="2"/>
        <v>8.5971765350087992</v>
      </c>
      <c r="E60" s="48">
        <f t="shared" si="3"/>
        <v>83.783059786413176</v>
      </c>
      <c r="F60" s="48">
        <f t="shared" si="4"/>
        <v>5.0744546673852104</v>
      </c>
      <c r="G60" s="48">
        <f t="shared" si="5"/>
        <v>15.163155418782871</v>
      </c>
      <c r="H60" s="48">
        <f t="shared" si="6"/>
        <v>3.1308463353833846</v>
      </c>
      <c r="I60" s="48">
        <f t="shared" si="7"/>
        <v>12.868455275503635</v>
      </c>
      <c r="J60" s="48">
        <f t="shared" si="8"/>
        <v>7.0701348496795786</v>
      </c>
      <c r="K60" s="48">
        <f t="shared" si="9"/>
        <v>49.333408001053094</v>
      </c>
      <c r="L60" s="48">
        <f t="shared" si="10"/>
        <v>56.180543335231029</v>
      </c>
      <c r="M60" s="48">
        <f t="shared" si="11"/>
        <v>11.156806755710313</v>
      </c>
    </row>
    <row r="61" spans="1:13">
      <c r="A61">
        <v>2029</v>
      </c>
      <c r="B61" s="48">
        <f t="shared" si="0"/>
        <v>1.9456826248432382</v>
      </c>
      <c r="C61" s="48">
        <f t="shared" si="1"/>
        <v>0</v>
      </c>
      <c r="D61" s="48">
        <f t="shared" si="2"/>
        <v>8.8550918310590649</v>
      </c>
      <c r="E61" s="48">
        <f t="shared" si="3"/>
        <v>90.318138449753405</v>
      </c>
      <c r="F61" s="48">
        <f>F$54*(1+$I$32)^($A61-$A$54)</f>
        <v>5.9675586888450063</v>
      </c>
      <c r="G61" s="48">
        <f t="shared" si="5"/>
        <v>17.831870772488653</v>
      </c>
      <c r="H61" s="48">
        <f t="shared" si="6"/>
        <v>3.6818752904108596</v>
      </c>
      <c r="I61" s="48">
        <f t="shared" si="7"/>
        <v>13.872194786992919</v>
      </c>
      <c r="J61" s="48">
        <f t="shared" si="8"/>
        <v>7.6216053679545857</v>
      </c>
      <c r="K61" s="48">
        <f t="shared" si="9"/>
        <v>58.016087809238428</v>
      </c>
      <c r="L61" s="48">
        <f t="shared" si="10"/>
        <v>63.914731467714525</v>
      </c>
      <c r="M61" s="48">
        <f t="shared" si="11"/>
        <v>11.7927447407858</v>
      </c>
    </row>
    <row r="62" spans="1:13">
      <c r="A62">
        <v>2030</v>
      </c>
      <c r="B62" s="48">
        <f t="shared" si="0"/>
        <v>2.0604778997089892</v>
      </c>
      <c r="C62" s="48">
        <f t="shared" si="1"/>
        <v>0</v>
      </c>
      <c r="D62" s="48">
        <f t="shared" si="2"/>
        <v>9.1207445859908347</v>
      </c>
      <c r="E62" s="48">
        <f t="shared" si="3"/>
        <v>97.362953248834188</v>
      </c>
      <c r="F62" s="48">
        <f t="shared" si="4"/>
        <v>7.0178490180817272</v>
      </c>
      <c r="G62" s="48">
        <f t="shared" si="5"/>
        <v>20.970280028446656</v>
      </c>
      <c r="H62" s="48">
        <f t="shared" si="6"/>
        <v>4.3298853415231706</v>
      </c>
      <c r="I62" s="48">
        <f t="shared" si="7"/>
        <v>14.954225980378368</v>
      </c>
      <c r="J62" s="48">
        <f t="shared" si="8"/>
        <v>8.216090586655044</v>
      </c>
      <c r="K62" s="48">
        <f t="shared" si="9"/>
        <v>68.226919263664399</v>
      </c>
      <c r="L62" s="48">
        <f t="shared" si="10"/>
        <v>72.713659499769904</v>
      </c>
      <c r="M62" s="48">
        <f>M$54*(1+$I$39)^($A62-$A$54)</f>
        <v>12.464931191010592</v>
      </c>
    </row>
    <row r="63" spans="1:13">
      <c r="A63">
        <v>2031</v>
      </c>
      <c r="B63" s="48">
        <f t="shared" si="0"/>
        <v>2.1820460957918191</v>
      </c>
      <c r="C63" s="48">
        <f t="shared" si="1"/>
        <v>0</v>
      </c>
      <c r="D63" s="48">
        <f t="shared" si="2"/>
        <v>9.3943669235705602</v>
      </c>
      <c r="E63" s="48">
        <f t="shared" si="3"/>
        <v>104.95726360224326</v>
      </c>
      <c r="F63" s="48">
        <f t="shared" si="4"/>
        <v>8.2529904452641105</v>
      </c>
      <c r="G63" s="48">
        <f t="shared" si="5"/>
        <v>24.661049313453265</v>
      </c>
      <c r="H63" s="48">
        <f t="shared" si="6"/>
        <v>5.0919451616312488</v>
      </c>
      <c r="I63" s="48">
        <f t="shared" si="7"/>
        <v>16.120655606847883</v>
      </c>
      <c r="J63" s="48">
        <f t="shared" si="8"/>
        <v>8.8569456524141383</v>
      </c>
      <c r="K63" s="48">
        <f t="shared" si="9"/>
        <v>80.234857054069323</v>
      </c>
      <c r="L63" s="48">
        <f>L$54*(1+$I$38)^($A63-$A$54)</f>
        <v>82.723906624238268</v>
      </c>
      <c r="M63" s="48">
        <f t="shared" si="11"/>
        <v>13.175432268898195</v>
      </c>
    </row>
    <row r="64" spans="1:13">
      <c r="A64">
        <v>2032</v>
      </c>
      <c r="B64" s="48">
        <f t="shared" si="0"/>
        <v>2.3107868154435365</v>
      </c>
      <c r="C64" s="48">
        <f t="shared" si="1"/>
        <v>0</v>
      </c>
      <c r="D64" s="48">
        <f t="shared" si="2"/>
        <v>9.6761979312776774</v>
      </c>
      <c r="E64" s="48">
        <f t="shared" si="3"/>
        <v>113.14393016321824</v>
      </c>
      <c r="F64" s="48">
        <f t="shared" si="4"/>
        <v>9.7055167636305928</v>
      </c>
      <c r="G64" s="48">
        <f t="shared" si="5"/>
        <v>29.001393992621036</v>
      </c>
      <c r="H64" s="48">
        <f t="shared" si="6"/>
        <v>5.9881275100783471</v>
      </c>
      <c r="I64" s="48">
        <f>I$54*(1+$I$35)^($A64-$A$54)</f>
        <v>17.378066744182018</v>
      </c>
      <c r="J64" s="48">
        <f>J$54*(1+$I$36)^($A64-$A$54)</f>
        <v>9.5477874133024425</v>
      </c>
      <c r="K64" s="48">
        <f>K$54*(1+$I$37)^($A64-$A$54)</f>
        <v>94.356191895585496</v>
      </c>
      <c r="L64" s="48">
        <f t="shared" si="10"/>
        <v>94.112231102841761</v>
      </c>
      <c r="M64" s="48">
        <f t="shared" si="11"/>
        <v>13.926431908225393</v>
      </c>
    </row>
    <row r="65" spans="1:27">
      <c r="A65">
        <v>2033</v>
      </c>
      <c r="B65" s="48">
        <f t="shared" si="0"/>
        <v>2.4471232375547052</v>
      </c>
      <c r="C65" s="48">
        <f t="shared" si="1"/>
        <v>0</v>
      </c>
      <c r="D65" s="48">
        <f t="shared" si="2"/>
        <v>9.9664838692160078</v>
      </c>
      <c r="E65" s="48">
        <f t="shared" si="3"/>
        <v>121.96915671594927</v>
      </c>
      <c r="F65" s="48">
        <f t="shared" si="4"/>
        <v>11.413687714029576</v>
      </c>
      <c r="G65" s="48">
        <f t="shared" si="5"/>
        <v>34.105639335322337</v>
      </c>
      <c r="H65" s="48">
        <f t="shared" si="6"/>
        <v>7.0420379518521363</v>
      </c>
      <c r="I65" s="48">
        <f t="shared" si="7"/>
        <v>18.733555950228215</v>
      </c>
      <c r="J65" s="48">
        <f t="shared" si="8"/>
        <v>10.292514831540032</v>
      </c>
      <c r="K65" s="48">
        <f t="shared" si="9"/>
        <v>110.96288166920854</v>
      </c>
      <c r="L65" s="48">
        <f t="shared" si="10"/>
        <v>107.06834825133302</v>
      </c>
      <c r="M65" s="48">
        <f t="shared" si="11"/>
        <v>14.720238526994239</v>
      </c>
    </row>
    <row r="66" spans="1:27">
      <c r="A66">
        <v>2034</v>
      </c>
      <c r="B66" s="48">
        <f t="shared" si="0"/>
        <v>2.5915035085704328</v>
      </c>
      <c r="C66" s="48">
        <f t="shared" si="1"/>
        <v>0</v>
      </c>
      <c r="D66" s="48">
        <f t="shared" si="2"/>
        <v>10.265478385292486</v>
      </c>
      <c r="E66" s="48">
        <f t="shared" si="3"/>
        <v>131.48275093979333</v>
      </c>
      <c r="F66" s="48">
        <f t="shared" si="4"/>
        <v>13.422496751698782</v>
      </c>
      <c r="G66" s="48">
        <f t="shared" si="5"/>
        <v>40.108231858339067</v>
      </c>
      <c r="H66" s="48">
        <f t="shared" si="6"/>
        <v>8.2814366313781118</v>
      </c>
      <c r="I66" s="48">
        <f t="shared" si="7"/>
        <v>20.194773314346019</v>
      </c>
      <c r="J66" s="48">
        <f t="shared" si="8"/>
        <v>11.095330988400155</v>
      </c>
      <c r="K66" s="48">
        <f t="shared" si="9"/>
        <v>130.49234884298926</v>
      </c>
      <c r="L66" s="48">
        <f t="shared" si="10"/>
        <v>121.80809086059989</v>
      </c>
      <c r="M66" s="48">
        <f t="shared" si="11"/>
        <v>15.559292123032911</v>
      </c>
    </row>
    <row r="67" spans="1:27">
      <c r="A67">
        <v>2035</v>
      </c>
      <c r="B67" s="48">
        <f t="shared" si="0"/>
        <v>2.7444022155760881</v>
      </c>
      <c r="C67" s="48">
        <f t="shared" si="1"/>
        <v>0</v>
      </c>
      <c r="D67" s="48">
        <f t="shared" si="2"/>
        <v>10.573442736851261</v>
      </c>
      <c r="E67" s="48">
        <f t="shared" si="3"/>
        <v>141.73840551309721</v>
      </c>
      <c r="F67" s="48">
        <f t="shared" si="4"/>
        <v>15.784856179997766</v>
      </c>
      <c r="G67" s="48">
        <f t="shared" si="5"/>
        <v>47.167280665406736</v>
      </c>
      <c r="H67" s="48">
        <f t="shared" si="6"/>
        <v>9.7389694785006586</v>
      </c>
      <c r="I67" s="48">
        <f t="shared" si="7"/>
        <v>21.769965632865009</v>
      </c>
      <c r="J67" s="48">
        <f t="shared" si="8"/>
        <v>11.96076680549537</v>
      </c>
      <c r="K67" s="48">
        <f t="shared" si="9"/>
        <v>153.45900223935536</v>
      </c>
      <c r="L67" s="48">
        <f t="shared" si="10"/>
        <v>138.5770047024092</v>
      </c>
      <c r="M67" s="48">
        <f t="shared" si="11"/>
        <v>16.446171774045787</v>
      </c>
    </row>
    <row r="68" spans="1:27"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</row>
    <row r="69" spans="1:27">
      <c r="A69" s="1" t="s">
        <v>934</v>
      </c>
      <c r="B69" s="1">
        <v>0.1</v>
      </c>
      <c r="C69" s="1" t="s">
        <v>935</v>
      </c>
      <c r="D69" s="1"/>
    </row>
    <row r="70" spans="1:27">
      <c r="B70" s="49"/>
    </row>
    <row r="71" spans="1:27">
      <c r="A71" s="1" t="s">
        <v>933</v>
      </c>
      <c r="B71" s="1" t="s">
        <v>540</v>
      </c>
      <c r="C71" s="1" t="s">
        <v>541</v>
      </c>
      <c r="D71" s="1" t="s">
        <v>542</v>
      </c>
      <c r="E71" s="1" t="s">
        <v>539</v>
      </c>
      <c r="F71" s="1" t="s">
        <v>543</v>
      </c>
      <c r="G71" s="1" t="s">
        <v>544</v>
      </c>
      <c r="H71" s="1" t="s">
        <v>545</v>
      </c>
      <c r="I71" s="1" t="s">
        <v>546</v>
      </c>
      <c r="J71" s="1" t="s">
        <v>547</v>
      </c>
      <c r="K71" s="1" t="s">
        <v>548</v>
      </c>
      <c r="L71" s="1" t="s">
        <v>449</v>
      </c>
      <c r="M71" s="1" t="s">
        <v>214</v>
      </c>
      <c r="O71" t="s">
        <v>933</v>
      </c>
      <c r="P71" t="s">
        <v>540</v>
      </c>
      <c r="Q71" t="s">
        <v>541</v>
      </c>
      <c r="R71" t="s">
        <v>542</v>
      </c>
      <c r="S71" t="s">
        <v>539</v>
      </c>
      <c r="T71" t="s">
        <v>543</v>
      </c>
      <c r="U71" t="s">
        <v>544</v>
      </c>
      <c r="V71" t="s">
        <v>545</v>
      </c>
      <c r="W71" t="s">
        <v>546</v>
      </c>
      <c r="X71" t="s">
        <v>547</v>
      </c>
      <c r="Y71" t="s">
        <v>548</v>
      </c>
      <c r="Z71" t="s">
        <v>449</v>
      </c>
      <c r="AA71" t="s">
        <v>214</v>
      </c>
    </row>
    <row r="72" spans="1:27">
      <c r="A72">
        <v>2022</v>
      </c>
      <c r="B72" s="52">
        <v>56.094164399789399</v>
      </c>
      <c r="C72" s="52">
        <v>86.351236638558888</v>
      </c>
      <c r="D72" s="52">
        <v>50.159654466297553</v>
      </c>
      <c r="E72" s="52">
        <v>28.287744535344675</v>
      </c>
      <c r="F72" s="52">
        <v>77.67400323355487</v>
      </c>
      <c r="G72" s="52">
        <v>87.446801314043242</v>
      </c>
      <c r="H72" s="52">
        <v>84.229332528074039</v>
      </c>
      <c r="I72" s="52">
        <v>79.449915484360588</v>
      </c>
      <c r="J72" s="52">
        <v>53.106283033076053</v>
      </c>
      <c r="K72" s="52">
        <v>77.734502174733478</v>
      </c>
      <c r="L72" s="52">
        <v>53.991164520856813</v>
      </c>
      <c r="M72" s="52">
        <v>96.955070057990397</v>
      </c>
      <c r="O72">
        <v>2022</v>
      </c>
      <c r="P72">
        <v>56.094164399789399</v>
      </c>
      <c r="Q72">
        <v>86.351236638558888</v>
      </c>
      <c r="R72">
        <v>50.159654466297553</v>
      </c>
      <c r="S72">
        <v>28.287744535344675</v>
      </c>
      <c r="T72">
        <v>77.67400323355487</v>
      </c>
      <c r="U72">
        <v>87.446801314043242</v>
      </c>
      <c r="V72">
        <v>84.229332528074039</v>
      </c>
      <c r="W72">
        <v>79.449915484360588</v>
      </c>
      <c r="X72">
        <v>53.106283033076053</v>
      </c>
      <c r="Y72">
        <v>77.734502174733478</v>
      </c>
      <c r="Z72">
        <v>53.991164520856813</v>
      </c>
      <c r="AA72">
        <v>96.955070057990397</v>
      </c>
    </row>
    <row r="73" spans="1:27">
      <c r="A73">
        <v>2023</v>
      </c>
      <c r="B73" s="49">
        <f>B$72*(1-$B$69)^LOG(B55/B$54,2)</f>
        <v>55.607506340373135</v>
      </c>
      <c r="C73" s="49">
        <f>IF(C54&gt;0,C$72*(1-$B$69)^LOG(C55/C$54,2),C72)</f>
        <v>86.351236638558888</v>
      </c>
      <c r="D73" s="49">
        <f t="shared" ref="D73:M85" si="12">IF(D54&gt;0,D$72*(1-$B$69)^LOG(D55/D$54,2),D72)</f>
        <v>49.934791202035974</v>
      </c>
      <c r="E73" s="49">
        <f>IF(E54&gt;0,E$72*(1-$B$69)^LOG(E55/E$54,2),E72)</f>
        <v>27.966632060779837</v>
      </c>
      <c r="F73" s="49">
        <f t="shared" si="12"/>
        <v>75.783307903622202</v>
      </c>
      <c r="G73" s="49">
        <f t="shared" si="12"/>
        <v>85.318222227358717</v>
      </c>
      <c r="H73" s="49">
        <f t="shared" si="12"/>
        <v>82.179071191918538</v>
      </c>
      <c r="I73" s="49">
        <f t="shared" si="12"/>
        <v>78.548028134053339</v>
      </c>
      <c r="J73" s="49">
        <f t="shared" si="12"/>
        <v>52.503439284314659</v>
      </c>
      <c r="K73" s="49">
        <f t="shared" si="12"/>
        <v>75.842334214824376</v>
      </c>
      <c r="L73" s="49">
        <f t="shared" si="12"/>
        <v>52.94296215275584</v>
      </c>
      <c r="M73" s="49">
        <f>IF(M54&gt;0,M$72*(1-$B$69)^LOG(M55/M$54,2),M72)</f>
        <v>96.141535033471669</v>
      </c>
      <c r="O73">
        <v>2023</v>
      </c>
      <c r="P73">
        <v>55.607506340373135</v>
      </c>
      <c r="Q73">
        <v>86.351236638558888</v>
      </c>
      <c r="R73">
        <v>49.934791202035974</v>
      </c>
      <c r="S73">
        <v>27.966632060779837</v>
      </c>
      <c r="T73">
        <v>75.783307903622202</v>
      </c>
      <c r="U73">
        <v>85.318222227358717</v>
      </c>
      <c r="V73">
        <v>82.179071191918538</v>
      </c>
      <c r="W73">
        <v>78.548028134053339</v>
      </c>
      <c r="X73">
        <v>52.503439284314659</v>
      </c>
      <c r="Y73">
        <v>75.842334214824376</v>
      </c>
      <c r="Z73">
        <v>52.94296215275584</v>
      </c>
      <c r="AA73">
        <v>96.141535033471669</v>
      </c>
    </row>
    <row r="74" spans="1:27">
      <c r="A74">
        <v>2024</v>
      </c>
      <c r="B74" s="49">
        <f t="shared" ref="B74:B84" si="13">B$72*(1-$B$69)^LOG(B56/B$54,2)</f>
        <v>55.125070396917216</v>
      </c>
      <c r="C74" s="49">
        <f t="shared" ref="C74:C85" si="14">IF(C55&gt;0,C$72*(1-$B$69)^LOG(C56/C$54,2),C73)</f>
        <v>86.351236638558888</v>
      </c>
      <c r="D74" s="49">
        <f t="shared" si="12"/>
        <v>49.710935988729936</v>
      </c>
      <c r="E74" s="49">
        <f t="shared" si="12"/>
        <v>27.649164741493895</v>
      </c>
      <c r="F74" s="49">
        <f t="shared" si="12"/>
        <v>73.938634777796622</v>
      </c>
      <c r="G74" s="49">
        <f t="shared" si="12"/>
        <v>83.241455772585098</v>
      </c>
      <c r="H74" s="49">
        <f t="shared" si="12"/>
        <v>80.178716122622419</v>
      </c>
      <c r="I74" s="49">
        <f t="shared" si="12"/>
        <v>77.656378690075954</v>
      </c>
      <c r="J74" s="49">
        <f t="shared" si="12"/>
        <v>51.907438804648081</v>
      </c>
      <c r="K74" s="49">
        <f t="shared" si="12"/>
        <v>73.996224304923203</v>
      </c>
      <c r="L74" s="49">
        <f t="shared" si="12"/>
        <v>51.915109932947523</v>
      </c>
      <c r="M74" s="49">
        <f t="shared" si="12"/>
        <v>95.334826255746691</v>
      </c>
      <c r="O74">
        <v>2024</v>
      </c>
      <c r="P74">
        <v>55.125070396917216</v>
      </c>
      <c r="Q74">
        <v>86.351236638558888</v>
      </c>
      <c r="R74">
        <v>49.710935988729936</v>
      </c>
      <c r="S74">
        <v>27.649164741493895</v>
      </c>
      <c r="T74">
        <v>73.938634777796622</v>
      </c>
      <c r="U74">
        <v>83.241455772585098</v>
      </c>
      <c r="V74">
        <v>80.178716122622419</v>
      </c>
      <c r="W74">
        <v>77.656378690075954</v>
      </c>
      <c r="X74">
        <v>51.907438804648081</v>
      </c>
      <c r="Y74">
        <v>73.996224304923203</v>
      </c>
      <c r="Z74">
        <v>51.915109932947523</v>
      </c>
      <c r="AA74">
        <v>95.334826255746691</v>
      </c>
    </row>
    <row r="75" spans="1:27">
      <c r="A75">
        <v>2025</v>
      </c>
      <c r="B75" s="49">
        <f t="shared" si="13"/>
        <v>54.6468199394659</v>
      </c>
      <c r="C75" s="49">
        <f t="shared" si="14"/>
        <v>86.351236638558888</v>
      </c>
      <c r="D75" s="49">
        <f t="shared" si="12"/>
        <v>49.488084307336578</v>
      </c>
      <c r="E75" s="49">
        <f t="shared" si="12"/>
        <v>27.335301198972907</v>
      </c>
      <c r="F75" s="49">
        <f t="shared" si="12"/>
        <v>72.138863610400605</v>
      </c>
      <c r="G75" s="49">
        <f t="shared" si="12"/>
        <v>81.215240756825054</v>
      </c>
      <c r="H75" s="49">
        <f t="shared" si="12"/>
        <v>78.227052530915699</v>
      </c>
      <c r="I75" s="49">
        <f t="shared" si="12"/>
        <v>76.774850935335479</v>
      </c>
      <c r="J75" s="49">
        <f t="shared" si="12"/>
        <v>51.318203911705055</v>
      </c>
      <c r="K75" s="49">
        <f t="shared" si="12"/>
        <v>72.195051326812418</v>
      </c>
      <c r="L75" s="49">
        <f t="shared" si="12"/>
        <v>50.907212776906064</v>
      </c>
      <c r="M75" s="49">
        <f t="shared" si="12"/>
        <v>94.534886446832431</v>
      </c>
      <c r="O75">
        <v>2025</v>
      </c>
      <c r="P75">
        <v>54.6468199394659</v>
      </c>
      <c r="Q75">
        <v>86.351236638558888</v>
      </c>
      <c r="R75">
        <v>49.488084307336578</v>
      </c>
      <c r="S75">
        <v>27.335301198972907</v>
      </c>
      <c r="T75">
        <v>72.138863610400605</v>
      </c>
      <c r="U75">
        <v>81.215240756825054</v>
      </c>
      <c r="V75">
        <v>78.227052530915699</v>
      </c>
      <c r="W75">
        <v>76.774850935335479</v>
      </c>
      <c r="X75">
        <v>51.318203911705055</v>
      </c>
      <c r="Y75">
        <v>72.195051326812418</v>
      </c>
      <c r="Z75">
        <v>50.907212776906064</v>
      </c>
      <c r="AA75">
        <v>94.534886446832431</v>
      </c>
    </row>
    <row r="76" spans="1:27">
      <c r="A76">
        <v>2026</v>
      </c>
      <c r="B76" s="49">
        <f t="shared" si="13"/>
        <v>54.172718655855178</v>
      </c>
      <c r="C76" s="49">
        <f t="shared" si="14"/>
        <v>86.351236638558888</v>
      </c>
      <c r="D76" s="49">
        <f t="shared" si="12"/>
        <v>49.266231659071686</v>
      </c>
      <c r="E76" s="49">
        <f t="shared" si="12"/>
        <v>27.025000524417184</v>
      </c>
      <c r="F76" s="49">
        <f t="shared" si="12"/>
        <v>70.382901424124199</v>
      </c>
      <c r="G76" s="49">
        <f t="shared" si="12"/>
        <v>79.238346686403929</v>
      </c>
      <c r="H76" s="49">
        <f t="shared" si="12"/>
        <v>76.322895197221001</v>
      </c>
      <c r="I76" s="49">
        <f t="shared" si="12"/>
        <v>75.90332997199431</v>
      </c>
      <c r="J76" s="49">
        <f t="shared" si="12"/>
        <v>50.735657804937127</v>
      </c>
      <c r="K76" s="49">
        <f t="shared" si="12"/>
        <v>70.437721451880904</v>
      </c>
      <c r="L76" s="49">
        <f t="shared" si="12"/>
        <v>49.918883270407648</v>
      </c>
      <c r="M76" s="49">
        <f t="shared" si="12"/>
        <v>93.74165880935665</v>
      </c>
      <c r="O76">
        <v>2026</v>
      </c>
      <c r="P76">
        <v>54.172718655855178</v>
      </c>
      <c r="Q76">
        <v>86.351236638558888</v>
      </c>
      <c r="R76">
        <v>49.266231659071686</v>
      </c>
      <c r="S76">
        <v>27.025000524417184</v>
      </c>
      <c r="T76">
        <v>70.382901424124199</v>
      </c>
      <c r="U76">
        <v>79.238346686403929</v>
      </c>
      <c r="V76">
        <v>76.322895197221001</v>
      </c>
      <c r="W76">
        <v>75.90332997199431</v>
      </c>
      <c r="X76">
        <v>50.735657804937127</v>
      </c>
      <c r="Y76">
        <v>70.437721451880904</v>
      </c>
      <c r="Z76">
        <v>49.918883270407648</v>
      </c>
      <c r="AA76">
        <v>93.74165880935665</v>
      </c>
    </row>
    <row r="77" spans="1:27">
      <c r="A77">
        <v>2027</v>
      </c>
      <c r="B77" s="49">
        <f t="shared" si="13"/>
        <v>53.702730548955763</v>
      </c>
      <c r="C77" s="49">
        <f t="shared" si="14"/>
        <v>86.351236638558888</v>
      </c>
      <c r="D77" s="49">
        <f t="shared" si="12"/>
        <v>49.045373565318883</v>
      </c>
      <c r="E77" s="49">
        <f t="shared" si="12"/>
        <v>26.718222273409268</v>
      </c>
      <c r="F77" s="49">
        <f t="shared" si="12"/>
        <v>68.669681846274301</v>
      </c>
      <c r="G77" s="49">
        <f t="shared" si="12"/>
        <v>77.309573019607129</v>
      </c>
      <c r="H77" s="49">
        <f t="shared" si="12"/>
        <v>74.465087751885321</v>
      </c>
      <c r="I77" s="49">
        <f t="shared" si="12"/>
        <v>75.041702206494492</v>
      </c>
      <c r="J77" s="49">
        <f t="shared" si="12"/>
        <v>50.159724555608534</v>
      </c>
      <c r="K77" s="49">
        <f t="shared" si="12"/>
        <v>68.723167476856261</v>
      </c>
      <c r="L77" s="49">
        <f t="shared" si="12"/>
        <v>48.949741520616648</v>
      </c>
      <c r="M77" s="49">
        <f t="shared" si="12"/>
        <v>92.955087022525063</v>
      </c>
      <c r="O77">
        <v>2027</v>
      </c>
      <c r="P77">
        <v>53.702730548955763</v>
      </c>
      <c r="Q77">
        <v>86.351236638558888</v>
      </c>
      <c r="R77">
        <v>49.045373565318883</v>
      </c>
      <c r="S77">
        <v>26.718222273409268</v>
      </c>
      <c r="T77">
        <v>68.669681846274301</v>
      </c>
      <c r="U77">
        <v>77.309573019607129</v>
      </c>
      <c r="V77">
        <v>74.465087751885321</v>
      </c>
      <c r="W77">
        <v>75.041702206494492</v>
      </c>
      <c r="X77">
        <v>50.159724555608534</v>
      </c>
      <c r="Y77">
        <v>68.723167476856261</v>
      </c>
      <c r="Z77">
        <v>48.949741520616648</v>
      </c>
      <c r="AA77">
        <v>92.955087022525063</v>
      </c>
    </row>
    <row r="78" spans="1:27">
      <c r="A78">
        <v>2028</v>
      </c>
      <c r="B78" s="49">
        <f t="shared" si="13"/>
        <v>53.236819933939849</v>
      </c>
      <c r="C78" s="49">
        <f t="shared" si="14"/>
        <v>86.351236638558888</v>
      </c>
      <c r="D78" s="49">
        <f t="shared" si="12"/>
        <v>48.825505567539182</v>
      </c>
      <c r="E78" s="49">
        <f t="shared" si="12"/>
        <v>26.414926460642437</v>
      </c>
      <c r="F78" s="49">
        <f t="shared" si="12"/>
        <v>66.998164461180579</v>
      </c>
      <c r="G78" s="49">
        <f t="shared" si="12"/>
        <v>75.427748437607022</v>
      </c>
      <c r="H78" s="49">
        <f t="shared" si="12"/>
        <v>72.652501972932001</v>
      </c>
      <c r="I78" s="49">
        <f t="shared" si="12"/>
        <v>74.189855334751968</v>
      </c>
      <c r="J78" s="49">
        <f t="shared" si="12"/>
        <v>49.590329096899652</v>
      </c>
      <c r="K78" s="49">
        <f t="shared" si="12"/>
        <v>67.050348175706333</v>
      </c>
      <c r="L78" s="49">
        <f t="shared" si="12"/>
        <v>47.999415010062862</v>
      </c>
      <c r="M78" s="49">
        <f t="shared" si="12"/>
        <v>92.175115238122459</v>
      </c>
      <c r="O78">
        <v>2028</v>
      </c>
      <c r="P78">
        <v>53.236819933939849</v>
      </c>
      <c r="Q78">
        <v>86.351236638558888</v>
      </c>
      <c r="R78">
        <v>48.825505567539182</v>
      </c>
      <c r="S78">
        <v>26.414926460642437</v>
      </c>
      <c r="T78">
        <v>66.998164461180579</v>
      </c>
      <c r="U78">
        <v>75.427748437607022</v>
      </c>
      <c r="V78">
        <v>72.652501972932001</v>
      </c>
      <c r="W78">
        <v>74.189855334751968</v>
      </c>
      <c r="X78">
        <v>49.590329096899652</v>
      </c>
      <c r="Y78">
        <v>67.050348175706333</v>
      </c>
      <c r="Z78">
        <v>47.999415010062862</v>
      </c>
      <c r="AA78">
        <v>92.175115238122459</v>
      </c>
    </row>
    <row r="79" spans="1:27">
      <c r="A79">
        <v>2029</v>
      </c>
      <c r="B79" s="49">
        <f t="shared" si="13"/>
        <v>52.774951435571744</v>
      </c>
      <c r="C79" s="49">
        <f t="shared" si="14"/>
        <v>86.351236638558888</v>
      </c>
      <c r="D79" s="49">
        <f t="shared" si="12"/>
        <v>48.606623227181046</v>
      </c>
      <c r="E79" s="49">
        <f t="shared" si="12"/>
        <v>26.115073554709024</v>
      </c>
      <c r="F79" s="49">
        <f t="shared" si="12"/>
        <v>65.367334178364771</v>
      </c>
      <c r="G79" s="49">
        <f t="shared" si="12"/>
        <v>73.59173013313638</v>
      </c>
      <c r="H79" s="49">
        <f t="shared" si="12"/>
        <v>70.884037100906383</v>
      </c>
      <c r="I79" s="49">
        <f t="shared" si="12"/>
        <v>73.347678327518906</v>
      </c>
      <c r="J79" s="49">
        <f t="shared" si="12"/>
        <v>49.027397214122864</v>
      </c>
      <c r="K79" s="49">
        <f t="shared" si="12"/>
        <v>65.418247667316393</v>
      </c>
      <c r="L79" s="49">
        <f t="shared" si="12"/>
        <v>47.067538453453807</v>
      </c>
      <c r="M79" s="49">
        <f t="shared" si="12"/>
        <v>91.401688076547416</v>
      </c>
      <c r="O79">
        <v>2029</v>
      </c>
      <c r="P79">
        <v>52.774951435571744</v>
      </c>
      <c r="Q79">
        <v>86.351236638558888</v>
      </c>
      <c r="R79">
        <v>48.606623227181046</v>
      </c>
      <c r="S79">
        <v>26.115073554709024</v>
      </c>
      <c r="T79">
        <v>65.367334178364771</v>
      </c>
      <c r="U79">
        <v>73.59173013313638</v>
      </c>
      <c r="V79">
        <v>70.884037100906383</v>
      </c>
      <c r="W79">
        <v>73.347678327518906</v>
      </c>
      <c r="X79">
        <v>49.027397214122864</v>
      </c>
      <c r="Y79">
        <v>65.418247667316393</v>
      </c>
      <c r="Z79">
        <v>47.067538453453807</v>
      </c>
      <c r="AA79">
        <v>91.401688076547416</v>
      </c>
    </row>
    <row r="80" spans="1:27">
      <c r="A80">
        <v>2030</v>
      </c>
      <c r="B80" s="49">
        <f t="shared" si="13"/>
        <v>52.317089985521882</v>
      </c>
      <c r="C80" s="49">
        <f t="shared" si="14"/>
        <v>86.351236638558888</v>
      </c>
      <c r="D80" s="49">
        <f t="shared" si="12"/>
        <v>48.388722125590718</v>
      </c>
      <c r="E80" s="49">
        <f t="shared" si="12"/>
        <v>25.818624472947924</v>
      </c>
      <c r="F80" s="49">
        <f t="shared" si="12"/>
        <v>63.776200616089568</v>
      </c>
      <c r="G80" s="49">
        <f t="shared" si="12"/>
        <v>71.800403116476602</v>
      </c>
      <c r="H80" s="49">
        <f t="shared" si="12"/>
        <v>69.158619170399092</v>
      </c>
      <c r="I80" s="49">
        <f t="shared" si="12"/>
        <v>72.515061415912299</v>
      </c>
      <c r="J80" s="49">
        <f t="shared" si="12"/>
        <v>48.470855535049459</v>
      </c>
      <c r="K80" s="49">
        <f t="shared" si="12"/>
        <v>63.825874798557876</v>
      </c>
      <c r="L80" s="49">
        <f t="shared" si="12"/>
        <v>46.153753657266734</v>
      </c>
      <c r="M80" s="49">
        <f t="shared" si="12"/>
        <v>90.634750622880162</v>
      </c>
      <c r="O80">
        <v>2030</v>
      </c>
      <c r="P80">
        <v>52.317089985521882</v>
      </c>
      <c r="Q80">
        <v>86.351236638558888</v>
      </c>
      <c r="R80">
        <v>48.388722125590718</v>
      </c>
      <c r="S80">
        <v>25.818624472947924</v>
      </c>
      <c r="T80">
        <v>63.776200616089568</v>
      </c>
      <c r="U80">
        <v>71.800403116476602</v>
      </c>
      <c r="V80">
        <v>69.158619170399092</v>
      </c>
      <c r="W80">
        <v>72.515061415912299</v>
      </c>
      <c r="X80">
        <v>48.470855535049459</v>
      </c>
      <c r="Y80">
        <v>63.825874798557876</v>
      </c>
      <c r="Z80">
        <v>46.153753657266734</v>
      </c>
      <c r="AA80">
        <v>90.634750622880162</v>
      </c>
    </row>
    <row r="81" spans="1:27">
      <c r="A81">
        <v>2031</v>
      </c>
      <c r="B81" s="49">
        <f t="shared" si="13"/>
        <v>51.863200819704204</v>
      </c>
      <c r="C81" s="49">
        <f t="shared" si="14"/>
        <v>86.351236638558888</v>
      </c>
      <c r="D81" s="49">
        <f t="shared" si="12"/>
        <v>48.171797863923047</v>
      </c>
      <c r="E81" s="49">
        <f t="shared" si="12"/>
        <v>25.525540576350593</v>
      </c>
      <c r="F81" s="49">
        <f t="shared" si="12"/>
        <v>62.22379749991287</v>
      </c>
      <c r="G81" s="49">
        <f t="shared" si="12"/>
        <v>70.052679538339191</v>
      </c>
      <c r="H81" s="49">
        <f t="shared" si="12"/>
        <v>67.475200357840976</v>
      </c>
      <c r="I81" s="49">
        <f t="shared" si="12"/>
        <v>71.691896077106634</v>
      </c>
      <c r="J81" s="49">
        <f t="shared" si="12"/>
        <v>47.920631520346305</v>
      </c>
      <c r="K81" s="49">
        <f t="shared" si="12"/>
        <v>62.272262542374214</v>
      </c>
      <c r="L81" s="49">
        <f t="shared" si="12"/>
        <v>45.257709382066714</v>
      </c>
      <c r="M81" s="49">
        <f t="shared" si="12"/>
        <v>89.874248422983541</v>
      </c>
      <c r="O81">
        <v>2031</v>
      </c>
      <c r="P81">
        <v>51.863200819704204</v>
      </c>
      <c r="Q81">
        <v>86.351236638558888</v>
      </c>
      <c r="R81">
        <v>48.171797863923047</v>
      </c>
      <c r="S81">
        <v>25.525540576350593</v>
      </c>
      <c r="T81">
        <v>62.22379749991287</v>
      </c>
      <c r="U81">
        <v>70.052679538339191</v>
      </c>
      <c r="V81">
        <v>67.475200357840976</v>
      </c>
      <c r="W81">
        <v>71.691896077106634</v>
      </c>
      <c r="X81">
        <v>47.920631520346305</v>
      </c>
      <c r="Y81">
        <v>62.272262542374214</v>
      </c>
      <c r="Z81">
        <v>45.257709382066714</v>
      </c>
      <c r="AA81">
        <v>89.874248422983541</v>
      </c>
    </row>
    <row r="82" spans="1:27">
      <c r="A82">
        <v>2032</v>
      </c>
      <c r="B82" s="49">
        <f t="shared" si="13"/>
        <v>51.413249475636619</v>
      </c>
      <c r="C82" s="49">
        <f t="shared" si="14"/>
        <v>86.351236638558888</v>
      </c>
      <c r="D82" s="49">
        <f t="shared" si="12"/>
        <v>47.955846063052711</v>
      </c>
      <c r="E82" s="49">
        <f t="shared" si="12"/>
        <v>25.235783664524845</v>
      </c>
      <c r="F82" s="49">
        <f t="shared" si="12"/>
        <v>60.709182075882062</v>
      </c>
      <c r="G82" s="49">
        <f t="shared" si="12"/>
        <v>68.3474980292292</v>
      </c>
      <c r="H82" s="49">
        <f t="shared" si="12"/>
        <v>65.832758345173758</v>
      </c>
      <c r="I82" s="49">
        <f t="shared" si="12"/>
        <v>70.878075020189186</v>
      </c>
      <c r="J82" s="49">
        <f t="shared" si="12"/>
        <v>47.37665345412114</v>
      </c>
      <c r="K82" s="49">
        <f t="shared" si="12"/>
        <v>60.756467410517985</v>
      </c>
      <c r="L82" s="49">
        <f t="shared" si="12"/>
        <v>44.379061207497664</v>
      </c>
      <c r="M82" s="49">
        <f t="shared" si="12"/>
        <v>89.120127479636665</v>
      </c>
      <c r="O82">
        <v>2032</v>
      </c>
      <c r="P82">
        <v>51.413249475636619</v>
      </c>
      <c r="Q82">
        <v>86.351236638558888</v>
      </c>
      <c r="R82">
        <v>47.955846063052711</v>
      </c>
      <c r="S82">
        <v>25.235783664524845</v>
      </c>
      <c r="T82">
        <v>60.709182075882062</v>
      </c>
      <c r="U82">
        <v>68.3474980292292</v>
      </c>
      <c r="V82">
        <v>65.832758345173758</v>
      </c>
      <c r="W82">
        <v>70.878075020189186</v>
      </c>
      <c r="X82">
        <v>47.37665345412114</v>
      </c>
      <c r="Y82">
        <v>60.756467410517985</v>
      </c>
      <c r="Z82">
        <v>44.379061207497664</v>
      </c>
      <c r="AA82">
        <v>89.120127479636665</v>
      </c>
    </row>
    <row r="83" spans="1:27">
      <c r="A83">
        <v>2033</v>
      </c>
      <c r="B83" s="49">
        <f t="shared" si="13"/>
        <v>50.967201789824372</v>
      </c>
      <c r="C83" s="49">
        <f t="shared" si="14"/>
        <v>86.351236638558888</v>
      </c>
      <c r="D83" s="49">
        <f t="shared" si="12"/>
        <v>47.740862363485775</v>
      </c>
      <c r="E83" s="49">
        <f t="shared" si="12"/>
        <v>24.949315970715837</v>
      </c>
      <c r="F83" s="49">
        <f t="shared" si="12"/>
        <v>59.231434538011932</v>
      </c>
      <c r="G83" s="49">
        <f t="shared" si="12"/>
        <v>66.683823054889501</v>
      </c>
      <c r="H83" s="49">
        <f t="shared" si="12"/>
        <v>64.230295699009588</v>
      </c>
      <c r="I83" s="49">
        <f t="shared" si="12"/>
        <v>70.073492172175705</v>
      </c>
      <c r="J83" s="49">
        <f t="shared" si="12"/>
        <v>46.838850434575157</v>
      </c>
      <c r="K83" s="49">
        <f t="shared" si="12"/>
        <v>59.277568880582962</v>
      </c>
      <c r="L83" s="49">
        <f t="shared" si="12"/>
        <v>43.517471399894475</v>
      </c>
      <c r="M83" s="49">
        <f t="shared" si="12"/>
        <v>88.372334248701009</v>
      </c>
      <c r="O83">
        <v>2033</v>
      </c>
      <c r="P83">
        <v>50.967201789824372</v>
      </c>
      <c r="Q83">
        <v>86.351236638558888</v>
      </c>
      <c r="R83">
        <v>47.740862363485775</v>
      </c>
      <c r="S83">
        <v>24.949315970715837</v>
      </c>
      <c r="T83">
        <v>59.231434538011932</v>
      </c>
      <c r="U83">
        <v>66.683823054889501</v>
      </c>
      <c r="V83">
        <v>64.230295699009588</v>
      </c>
      <c r="W83">
        <v>70.073492172175705</v>
      </c>
      <c r="X83">
        <v>46.838850434575157</v>
      </c>
      <c r="Y83">
        <v>59.277568880582962</v>
      </c>
      <c r="Z83">
        <v>43.517471399894475</v>
      </c>
      <c r="AA83">
        <v>88.372334248701009</v>
      </c>
    </row>
    <row r="84" spans="1:27">
      <c r="A84">
        <v>2034</v>
      </c>
      <c r="B84" s="49">
        <f t="shared" si="13"/>
        <v>50.525023895166115</v>
      </c>
      <c r="C84" s="49">
        <f t="shared" si="14"/>
        <v>86.351236638558888</v>
      </c>
      <c r="D84" s="49">
        <f t="shared" si="12"/>
        <v>47.52684242527171</v>
      </c>
      <c r="E84" s="49">
        <f t="shared" si="12"/>
        <v>24.66610015688358</v>
      </c>
      <c r="F84" s="49">
        <f t="shared" si="12"/>
        <v>57.789657469698646</v>
      </c>
      <c r="G84" s="49">
        <f t="shared" si="12"/>
        <v>65.060644287434528</v>
      </c>
      <c r="H84" s="49">
        <f t="shared" si="12"/>
        <v>62.666839264903082</v>
      </c>
      <c r="I84" s="49">
        <f t="shared" si="12"/>
        <v>69.27804266418498</v>
      </c>
      <c r="J84" s="49">
        <f t="shared" si="12"/>
        <v>46.307152364761706</v>
      </c>
      <c r="K84" s="49">
        <f t="shared" si="12"/>
        <v>57.834668836982999</v>
      </c>
      <c r="L84" s="49">
        <f t="shared" si="12"/>
        <v>42.672608782465389</v>
      </c>
      <c r="M84" s="49">
        <f t="shared" si="12"/>
        <v>87.630815635318612</v>
      </c>
      <c r="O84">
        <v>2034</v>
      </c>
      <c r="P84">
        <v>50.525023895166115</v>
      </c>
      <c r="Q84">
        <v>86.351236638558888</v>
      </c>
      <c r="R84">
        <v>47.52684242527171</v>
      </c>
      <c r="S84">
        <v>24.66610015688358</v>
      </c>
      <c r="T84">
        <v>57.789657469698646</v>
      </c>
      <c r="U84">
        <v>65.060644287434528</v>
      </c>
      <c r="V84">
        <v>62.666839264903082</v>
      </c>
      <c r="W84">
        <v>69.27804266418498</v>
      </c>
      <c r="X84">
        <v>46.307152364761706</v>
      </c>
      <c r="Y84">
        <v>57.834668836982999</v>
      </c>
      <c r="Z84">
        <v>42.672608782465389</v>
      </c>
      <c r="AA84">
        <v>87.630815635318612</v>
      </c>
    </row>
    <row r="85" spans="1:27">
      <c r="A85">
        <v>2035</v>
      </c>
      <c r="B85" s="49">
        <f>B$72*(1-$B$69)^LOG(B67/B$54,2)</f>
        <v>50.08668221838245</v>
      </c>
      <c r="C85" s="49">
        <f t="shared" si="14"/>
        <v>86.351236638558888</v>
      </c>
      <c r="D85" s="49">
        <f t="shared" si="12"/>
        <v>47.313781927915748</v>
      </c>
      <c r="E85" s="49">
        <f t="shared" si="12"/>
        <v>24.386099308836311</v>
      </c>
      <c r="F85" s="49">
        <f t="shared" si="12"/>
        <v>56.382975298730457</v>
      </c>
      <c r="G85" s="49">
        <f t="shared" si="12"/>
        <v>63.476975991791399</v>
      </c>
      <c r="H85" s="49">
        <f t="shared" si="12"/>
        <v>61.141439576367283</v>
      </c>
      <c r="I85" s="49">
        <f t="shared" si="12"/>
        <v>68.491622817770249</v>
      </c>
      <c r="J85" s="49">
        <f t="shared" si="12"/>
        <v>45.781489943449877</v>
      </c>
      <c r="K85" s="49">
        <f t="shared" si="12"/>
        <v>56.426891025538254</v>
      </c>
      <c r="L85" s="49">
        <f t="shared" si="12"/>
        <v>41.844148607994661</v>
      </c>
      <c r="M85" s="49">
        <f t="shared" si="12"/>
        <v>86.895518990142307</v>
      </c>
      <c r="O85">
        <v>2035</v>
      </c>
      <c r="P85">
        <v>50.08668221838245</v>
      </c>
      <c r="Q85">
        <v>86.351236638558888</v>
      </c>
      <c r="R85">
        <v>47.313781927915748</v>
      </c>
      <c r="S85">
        <v>24.386099308836311</v>
      </c>
      <c r="T85">
        <v>56.382975298730457</v>
      </c>
      <c r="U85">
        <v>63.476975991791399</v>
      </c>
      <c r="V85">
        <v>61.141439576367283</v>
      </c>
      <c r="W85">
        <v>68.491622817770249</v>
      </c>
      <c r="X85">
        <v>45.781489943449877</v>
      </c>
      <c r="Y85">
        <v>56.426891025538254</v>
      </c>
      <c r="Z85">
        <v>41.844148607994661</v>
      </c>
      <c r="AA85">
        <v>86.895518990142307</v>
      </c>
    </row>
    <row r="87" spans="1:27">
      <c r="A87" t="s">
        <v>933</v>
      </c>
      <c r="B87">
        <v>2022</v>
      </c>
      <c r="C87">
        <v>2023</v>
      </c>
      <c r="D87">
        <v>2024</v>
      </c>
      <c r="E87">
        <v>2025</v>
      </c>
      <c r="F87">
        <v>2026</v>
      </c>
      <c r="G87">
        <v>2027</v>
      </c>
      <c r="H87">
        <v>2028</v>
      </c>
      <c r="I87">
        <v>2029</v>
      </c>
      <c r="J87">
        <v>2030</v>
      </c>
      <c r="K87">
        <v>2031</v>
      </c>
      <c r="L87">
        <v>2032</v>
      </c>
      <c r="M87">
        <v>2033</v>
      </c>
      <c r="N87">
        <v>2034</v>
      </c>
      <c r="O87">
        <v>2035</v>
      </c>
    </row>
    <row r="88" spans="1:27">
      <c r="A88" t="s">
        <v>540</v>
      </c>
      <c r="B88">
        <v>6.4034434246334933E-3</v>
      </c>
      <c r="C88">
        <v>6.3478888516407686E-3</v>
      </c>
      <c r="D88">
        <v>6.2928162553558464E-3</v>
      </c>
      <c r="E88">
        <v>6.238221454276929E-3</v>
      </c>
      <c r="F88">
        <v>6.1841003031798151E-3</v>
      </c>
      <c r="G88">
        <v>6.1304486928031691E-3</v>
      </c>
      <c r="H88">
        <v>6.0772625495365126E-3</v>
      </c>
      <c r="I88">
        <v>6.02453783511093E-3</v>
      </c>
      <c r="J88">
        <v>5.9722705462924523E-3</v>
      </c>
      <c r="K88">
        <v>5.9204567145781052E-3</v>
      </c>
      <c r="L88">
        <v>5.8690924058945907E-3</v>
      </c>
      <c r="M88">
        <v>5.8181737202995859E-3</v>
      </c>
      <c r="N88">
        <v>5.7676967916856295E-3</v>
      </c>
      <c r="O88">
        <v>5.7176577874865813E-3</v>
      </c>
    </row>
    <row r="89" spans="1:27">
      <c r="A89" t="s">
        <v>541</v>
      </c>
      <c r="B89">
        <v>9.85744710485832E-3</v>
      </c>
      <c r="C89">
        <v>9.85744710485832E-3</v>
      </c>
      <c r="D89">
        <v>9.85744710485832E-3</v>
      </c>
      <c r="E89">
        <v>9.85744710485832E-3</v>
      </c>
      <c r="F89">
        <v>9.85744710485832E-3</v>
      </c>
      <c r="G89">
        <v>9.85744710485832E-3</v>
      </c>
      <c r="H89">
        <v>9.85744710485832E-3</v>
      </c>
      <c r="I89">
        <v>9.85744710485832E-3</v>
      </c>
      <c r="J89">
        <v>9.85744710485832E-3</v>
      </c>
      <c r="K89">
        <v>9.85744710485832E-3</v>
      </c>
      <c r="L89">
        <v>9.85744710485832E-3</v>
      </c>
      <c r="M89">
        <v>9.85744710485832E-3</v>
      </c>
      <c r="N89">
        <v>9.85744710485832E-3</v>
      </c>
      <c r="O89">
        <v>9.85744710485832E-3</v>
      </c>
    </row>
    <row r="90" spans="1:27">
      <c r="A90" t="s">
        <v>542</v>
      </c>
      <c r="B90">
        <v>5.7259879527736934E-3</v>
      </c>
      <c r="C90">
        <v>5.7003186303694036E-3</v>
      </c>
      <c r="D90">
        <v>5.6747643822751071E-3</v>
      </c>
      <c r="E90">
        <v>5.6493246926183306E-3</v>
      </c>
      <c r="F90">
        <v>5.6239990478392336E-3</v>
      </c>
      <c r="G90">
        <v>5.5987869366802374E-3</v>
      </c>
      <c r="H90">
        <v>5.5736878501757058E-3</v>
      </c>
      <c r="I90">
        <v>5.5487012816416723E-3</v>
      </c>
      <c r="J90">
        <v>5.5238267266656069E-3</v>
      </c>
      <c r="K90">
        <v>5.4990636830962378E-3</v>
      </c>
      <c r="L90">
        <v>5.4744116510334149E-3</v>
      </c>
      <c r="M90">
        <v>5.4498701328180108E-3</v>
      </c>
      <c r="N90">
        <v>5.4254386330218844E-3</v>
      </c>
      <c r="O90">
        <v>5.4011166584378711E-3</v>
      </c>
    </row>
    <row r="91" spans="1:27">
      <c r="A91" t="s">
        <v>539</v>
      </c>
      <c r="B91">
        <v>3.2291945816603509E-3</v>
      </c>
      <c r="C91">
        <v>3.1925379064817166E-3</v>
      </c>
      <c r="D91">
        <v>3.1562973449193944E-3</v>
      </c>
      <c r="E91">
        <v>3.1204681733987337E-3</v>
      </c>
      <c r="F91">
        <v>3.0850457219654321E-3</v>
      </c>
      <c r="G91">
        <v>3.0500253736768569E-3</v>
      </c>
      <c r="H91">
        <v>3.0154025640002783E-3</v>
      </c>
      <c r="I91">
        <v>2.9811727802179252E-3</v>
      </c>
      <c r="J91">
        <v>2.9473315608388043E-3</v>
      </c>
      <c r="K91">
        <v>2.9138744950171912E-3</v>
      </c>
      <c r="L91">
        <v>2.8807972219777223E-3</v>
      </c>
      <c r="M91">
        <v>2.8480954304470132E-3</v>
      </c>
      <c r="N91">
        <v>2.8157648580917328E-3</v>
      </c>
      <c r="O91">
        <v>2.783801290963049E-3</v>
      </c>
    </row>
    <row r="92" spans="1:27">
      <c r="A92" t="s">
        <v>543</v>
      </c>
      <c r="B92">
        <v>8.8668953462962188E-3</v>
      </c>
      <c r="C92">
        <v>8.6510625460755938E-3</v>
      </c>
      <c r="D92">
        <v>8.4404834221229012E-3</v>
      </c>
      <c r="E92">
        <v>8.2350300925114854E-3</v>
      </c>
      <c r="F92">
        <v>8.0345777881420319E-3</v>
      </c>
      <c r="G92">
        <v>7.8390047769719522E-3</v>
      </c>
      <c r="H92">
        <v>7.6481922900891071E-3</v>
      </c>
      <c r="I92">
        <v>7.4620244495850196E-3</v>
      </c>
      <c r="J92">
        <v>7.2803881981837407E-3</v>
      </c>
      <c r="K92">
        <v>7.1031732305836606E-3</v>
      </c>
      <c r="L92">
        <v>6.9302719264705548E-3</v>
      </c>
      <c r="M92">
        <v>6.7615792851611796E-3</v>
      </c>
      <c r="N92">
        <v>6.5969928618377447E-3</v>
      </c>
      <c r="O92">
        <v>6.4364127053345268E-3</v>
      </c>
    </row>
    <row r="93" spans="1:27">
      <c r="A93" t="s">
        <v>544</v>
      </c>
      <c r="B93">
        <v>9.9825115655300511E-3</v>
      </c>
      <c r="C93">
        <v>9.7395230853149217E-3</v>
      </c>
      <c r="D93">
        <v>9.5024492891078883E-3</v>
      </c>
      <c r="E93">
        <v>9.2711462051170146E-3</v>
      </c>
      <c r="F93">
        <v>9.0454733660278452E-3</v>
      </c>
      <c r="G93">
        <v>8.8252937236994438E-3</v>
      </c>
      <c r="H93">
        <v>8.6104735659368742E-3</v>
      </c>
      <c r="I93">
        <v>8.4008824352895407E-3</v>
      </c>
      <c r="J93">
        <v>8.1963930498260961E-3</v>
      </c>
      <c r="K93">
        <v>7.9968812258378076E-3</v>
      </c>
      <c r="L93">
        <v>7.8022258024234249E-3</v>
      </c>
      <c r="M93">
        <v>7.6123085679097608E-3</v>
      </c>
      <c r="N93">
        <v>7.4270141880633019E-3</v>
      </c>
      <c r="O93">
        <v>7.2462301360492467E-3</v>
      </c>
    </row>
    <row r="94" spans="1:27">
      <c r="A94" t="s">
        <v>545</v>
      </c>
      <c r="B94">
        <v>9.6152206082276304E-3</v>
      </c>
      <c r="C94">
        <v>9.3811725104929831E-3</v>
      </c>
      <c r="D94">
        <v>9.1528214751852074E-3</v>
      </c>
      <c r="E94">
        <v>8.9300288277301028E-3</v>
      </c>
      <c r="F94">
        <v>8.7126592690891548E-3</v>
      </c>
      <c r="G94">
        <v>8.5005807935942153E-3</v>
      </c>
      <c r="H94">
        <v>8.2936646087821923E-3</v>
      </c>
      <c r="I94">
        <v>8.0917850571810938E-3</v>
      </c>
      <c r="J94">
        <v>7.8948195399998963E-3</v>
      </c>
      <c r="K94">
        <v>7.7026484426759101E-3</v>
      </c>
      <c r="L94">
        <v>7.5151550622344476E-3</v>
      </c>
      <c r="M94">
        <v>7.3322255364166198E-3</v>
      </c>
      <c r="N94">
        <v>7.1537487745323156E-3</v>
      </c>
      <c r="O94">
        <v>6.9796163899962654E-3</v>
      </c>
    </row>
    <row r="95" spans="1:27">
      <c r="A95" t="s">
        <v>546</v>
      </c>
      <c r="B95">
        <v>9.069625055292305E-3</v>
      </c>
      <c r="C95">
        <v>8.9666698783165914E-3</v>
      </c>
      <c r="D95">
        <v>8.8648834121091268E-3</v>
      </c>
      <c r="E95">
        <v>8.7642523898784786E-3</v>
      </c>
      <c r="F95">
        <v>8.6647636954331406E-3</v>
      </c>
      <c r="G95">
        <v>8.5664043614719736E-3</v>
      </c>
      <c r="H95">
        <v>8.469161567894061E-3</v>
      </c>
      <c r="I95">
        <v>8.3730226401277294E-3</v>
      </c>
      <c r="J95">
        <v>8.2779750474785731E-3</v>
      </c>
      <c r="K95">
        <v>8.1840064014961911E-3</v>
      </c>
      <c r="L95">
        <v>8.0911044543594962E-3</v>
      </c>
      <c r="M95">
        <v>7.9992570972803323E-3</v>
      </c>
      <c r="N95">
        <v>7.9084523589252262E-3</v>
      </c>
      <c r="O95">
        <v>7.8186784038550509E-3</v>
      </c>
    </row>
    <row r="96" spans="1:27">
      <c r="A96" t="s">
        <v>547</v>
      </c>
      <c r="B96">
        <v>6.0623610768351663E-3</v>
      </c>
      <c r="C96">
        <v>5.9935432972961942E-3</v>
      </c>
      <c r="D96">
        <v>5.9255067128593701E-3</v>
      </c>
      <c r="E96">
        <v>5.8582424556740927E-3</v>
      </c>
      <c r="F96">
        <v>5.7917417585544662E-3</v>
      </c>
      <c r="G96">
        <v>5.7259959538365907E-3</v>
      </c>
      <c r="H96">
        <v>5.6609964722488188E-3</v>
      </c>
      <c r="I96">
        <v>5.5967348417948473E-3</v>
      </c>
      <c r="J96">
        <v>5.5332026866494813E-3</v>
      </c>
      <c r="K96">
        <v>5.4703917260669295E-3</v>
      </c>
      <c r="L96">
        <v>5.4082937733014999E-3</v>
      </c>
      <c r="M96">
        <v>5.3469007345405429E-3</v>
      </c>
      <c r="N96">
        <v>5.2862046078495095E-3</v>
      </c>
      <c r="O96">
        <v>5.226197482128981E-3</v>
      </c>
    </row>
    <row r="97" spans="1:15">
      <c r="A97" t="s">
        <v>548</v>
      </c>
      <c r="B97">
        <v>8.8738016181202604E-3</v>
      </c>
      <c r="C97">
        <v>8.6578007094548371E-3</v>
      </c>
      <c r="D97">
        <v>8.4470575690551598E-3</v>
      </c>
      <c r="E97">
        <v>8.2414442153895453E-3</v>
      </c>
      <c r="F97">
        <v>8.0408357821781847E-3</v>
      </c>
      <c r="G97">
        <v>7.8451104425635004E-3</v>
      </c>
      <c r="H97">
        <v>7.6541493351262938E-3</v>
      </c>
      <c r="I97">
        <v>7.4678364917027847E-3</v>
      </c>
      <c r="J97">
        <v>7.2860587669586613E-3</v>
      </c>
      <c r="K97">
        <v>7.1087057696774215E-3</v>
      </c>
      <c r="L97">
        <v>6.9356697957212313E-3</v>
      </c>
      <c r="M97">
        <v>6.7668457626236253E-3</v>
      </c>
      <c r="N97">
        <v>6.6021311457743152E-3</v>
      </c>
      <c r="O97">
        <v>6.4414259161573346E-3</v>
      </c>
    </row>
    <row r="98" spans="1:15">
      <c r="A98" t="s">
        <v>449</v>
      </c>
      <c r="B98">
        <v>6.1633749453032889E-3</v>
      </c>
      <c r="C98">
        <v>6.0437171407255524E-3</v>
      </c>
      <c r="D98">
        <v>5.9263824124369318E-3</v>
      </c>
      <c r="E98">
        <v>5.811325659464163E-3</v>
      </c>
      <c r="F98">
        <v>5.6985026564392288E-3</v>
      </c>
      <c r="G98">
        <v>5.5878700366000737E-3</v>
      </c>
      <c r="H98">
        <v>5.4793852751213309E-3</v>
      </c>
      <c r="I98">
        <v>5.3730066727686997E-3</v>
      </c>
      <c r="J98">
        <v>5.2686933398706313E-3</v>
      </c>
      <c r="K98">
        <v>5.166405180601223E-3</v>
      </c>
      <c r="L98">
        <v>5.0661028775682267E-3</v>
      </c>
      <c r="M98">
        <v>4.9677478767002825E-3</v>
      </c>
      <c r="N98">
        <v>4.8713023724275559E-3</v>
      </c>
      <c r="O98">
        <v>4.7767292931500758E-3</v>
      </c>
    </row>
    <row r="99" spans="1:15">
      <c r="A99" t="s">
        <v>214</v>
      </c>
      <c r="B99">
        <v>1.1067930371916713E-2</v>
      </c>
      <c r="C99">
        <v>1.0975061076880328E-2</v>
      </c>
      <c r="D99">
        <v>1.0882971033761037E-2</v>
      </c>
      <c r="E99">
        <v>1.0791653703976304E-2</v>
      </c>
      <c r="F99">
        <v>1.0701102603807838E-2</v>
      </c>
      <c r="G99">
        <v>1.0611311303941218E-2</v>
      </c>
      <c r="H99">
        <v>1.0522273429009413E-2</v>
      </c>
      <c r="I99">
        <v>1.0433982657140116E-2</v>
      </c>
      <c r="J99">
        <v>1.0346432719506868E-2</v>
      </c>
      <c r="K99">
        <v>1.0259617399883967E-2</v>
      </c>
      <c r="L99">
        <v>1.0173530534205099E-2</v>
      </c>
      <c r="M99">
        <v>1.0088166010125686E-2</v>
      </c>
      <c r="N99">
        <v>1.0003517766588883E-2</v>
      </c>
      <c r="O99">
        <v>9.9195797933952397E-3</v>
      </c>
    </row>
    <row r="101" spans="1:15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>
      <c r="B102" s="11">
        <f>B72/8760</f>
        <v>6.4034434246334933E-3</v>
      </c>
      <c r="C102" s="11">
        <f>C72/8760</f>
        <v>9.85744710485832E-3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spans="1:15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</sheetData>
  <mergeCells count="2">
    <mergeCell ref="I2:I3"/>
    <mergeCell ref="J2:J3"/>
  </mergeCells>
  <phoneticPr fontId="2" type="noConversion"/>
  <hyperlinks>
    <hyperlink ref="F25" r:id="rId1" xr:uid="{203F4FCF-F033-734E-840E-E439021239A9}"/>
    <hyperlink ref="J35" r:id="rId2" location=":~:text=Air%20Conditioning%20Compressor%20Market%20–%20increasing,to%20boost%20the%20market%20growth&amp;text=Air%20Conditioning%20Compressor%20Market%20size,5.2%20%25%20during%20the%20forecast%20period." display="https://www.maximizemarketresearch.com/market-report/air-conditioning-compressor-market/169709/#:~:text=Air%20Conditioning%20Compressor%20Market%20–%20increasing,to%20boost%20the%20market%20growth&amp;text=Air%20Conditioning%20Compressor%20Market%20size,5.2%20%25%20during%20the%20forecast%20period." xr:uid="{F3DC5B8A-402E-D24B-80F0-785A1B5D9602}"/>
    <hyperlink ref="J37" r:id="rId3" xr:uid="{DAB129D4-B4E2-9C49-ABC9-C256A7F890C5}"/>
  </hyperlinks>
  <pageMargins left="0.7" right="0.7" top="0.78740157499999996" bottom="0.78740157499999996" header="0.3" footer="0.3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73D4-0D1B-C448-9E05-0CA33FA4A7D1}">
  <dimension ref="A1:S86"/>
  <sheetViews>
    <sheetView topLeftCell="A10" zoomScale="93" workbookViewId="0">
      <selection activeCell="E31" sqref="E31"/>
    </sheetView>
  </sheetViews>
  <sheetFormatPr baseColWidth="10" defaultRowHeight="16"/>
  <cols>
    <col min="2" max="2" width="15.83203125" bestFit="1" customWidth="1"/>
    <col min="3" max="3" width="19.1640625" bestFit="1" customWidth="1"/>
    <col min="4" max="4" width="15.6640625" customWidth="1"/>
    <col min="5" max="5" width="16.83203125" bestFit="1" customWidth="1"/>
    <col min="6" max="6" width="17.6640625" customWidth="1"/>
    <col min="7" max="8" width="16.83203125" bestFit="1" customWidth="1"/>
    <col min="9" max="10" width="15.83203125" bestFit="1" customWidth="1"/>
    <col min="11" max="11" width="16.83203125" bestFit="1" customWidth="1"/>
    <col min="12" max="12" width="18.1640625" bestFit="1" customWidth="1"/>
    <col min="13" max="13" width="16.83203125" bestFit="1" customWidth="1"/>
    <col min="14" max="15" width="12.6640625" bestFit="1" customWidth="1"/>
    <col min="19" max="19" width="10.1640625" customWidth="1"/>
  </cols>
  <sheetData>
    <row r="1" spans="1:7">
      <c r="A1" s="1" t="s">
        <v>139</v>
      </c>
      <c r="B1" s="1" t="s">
        <v>372</v>
      </c>
      <c r="C1" s="1" t="s">
        <v>26</v>
      </c>
      <c r="D1" s="1" t="s">
        <v>176</v>
      </c>
      <c r="E1" s="1" t="s">
        <v>313</v>
      </c>
      <c r="F1" s="1" t="s">
        <v>210</v>
      </c>
      <c r="G1" s="1" t="s">
        <v>309</v>
      </c>
    </row>
    <row r="2" spans="1:7">
      <c r="A2" s="46" t="s">
        <v>184</v>
      </c>
      <c r="B2" s="46">
        <f>6000*0.84</f>
        <v>5040</v>
      </c>
      <c r="C2" t="s">
        <v>373</v>
      </c>
      <c r="D2" s="46">
        <v>2024</v>
      </c>
      <c r="E2" s="47">
        <v>4.2000000000000003E-2</v>
      </c>
      <c r="F2" s="1" t="s">
        <v>573</v>
      </c>
      <c r="G2" s="1"/>
    </row>
    <row r="3" spans="1:7">
      <c r="A3" s="46"/>
      <c r="B3" s="46">
        <f>8800*0.84</f>
        <v>7392</v>
      </c>
      <c r="C3" t="s">
        <v>373</v>
      </c>
      <c r="D3" s="46">
        <v>2032</v>
      </c>
      <c r="E3" s="46"/>
      <c r="F3" s="1"/>
      <c r="G3" s="1"/>
    </row>
    <row r="4" spans="1:7" ht="17" customHeight="1">
      <c r="A4" t="s">
        <v>184</v>
      </c>
      <c r="B4">
        <v>900</v>
      </c>
      <c r="C4" t="s">
        <v>373</v>
      </c>
      <c r="D4">
        <v>2024</v>
      </c>
      <c r="E4">
        <v>18.899999999999999</v>
      </c>
      <c r="F4" s="38" t="s">
        <v>374</v>
      </c>
      <c r="G4" t="s">
        <v>411</v>
      </c>
    </row>
    <row r="5" spans="1:7">
      <c r="A5" t="s">
        <v>184</v>
      </c>
      <c r="B5">
        <v>4700</v>
      </c>
      <c r="C5" t="s">
        <v>373</v>
      </c>
      <c r="D5">
        <v>2032</v>
      </c>
      <c r="F5" s="38" t="s">
        <v>374</v>
      </c>
      <c r="G5" t="s">
        <v>378</v>
      </c>
    </row>
    <row r="6" spans="1:7">
      <c r="A6" t="s">
        <v>198</v>
      </c>
      <c r="B6">
        <f>B4*0.26</f>
        <v>234</v>
      </c>
      <c r="C6" t="s">
        <v>373</v>
      </c>
      <c r="D6">
        <v>2024</v>
      </c>
      <c r="F6" t="s">
        <v>376</v>
      </c>
      <c r="G6" t="s">
        <v>377</v>
      </c>
    </row>
    <row r="7" spans="1:7">
      <c r="A7" t="s">
        <v>197</v>
      </c>
      <c r="B7">
        <f>B4*0.2</f>
        <v>180</v>
      </c>
      <c r="C7" t="s">
        <v>373</v>
      </c>
      <c r="D7">
        <v>2024</v>
      </c>
      <c r="F7" s="38" t="s">
        <v>376</v>
      </c>
      <c r="G7" t="s">
        <v>377</v>
      </c>
    </row>
    <row r="8" spans="1:7">
      <c r="A8" t="s">
        <v>222</v>
      </c>
      <c r="B8">
        <f>B4*0.13</f>
        <v>117</v>
      </c>
      <c r="C8" t="s">
        <v>373</v>
      </c>
      <c r="D8">
        <v>2024</v>
      </c>
      <c r="F8" t="s">
        <v>376</v>
      </c>
      <c r="G8" t="s">
        <v>377</v>
      </c>
    </row>
    <row r="9" spans="1:7">
      <c r="A9" t="s">
        <v>191</v>
      </c>
      <c r="B9">
        <f>B4*0.04</f>
        <v>36</v>
      </c>
      <c r="C9" t="s">
        <v>373</v>
      </c>
      <c r="D9">
        <v>2024</v>
      </c>
      <c r="F9" t="s">
        <v>376</v>
      </c>
      <c r="G9" t="s">
        <v>377</v>
      </c>
    </row>
    <row r="10" spans="1:7">
      <c r="A10" t="s">
        <v>366</v>
      </c>
      <c r="B10">
        <f>B4*0.03</f>
        <v>27</v>
      </c>
      <c r="C10" t="s">
        <v>373</v>
      </c>
      <c r="D10">
        <v>2024</v>
      </c>
      <c r="F10" t="s">
        <v>376</v>
      </c>
      <c r="G10" t="s">
        <v>377</v>
      </c>
    </row>
    <row r="11" spans="1:7">
      <c r="A11" t="s">
        <v>167</v>
      </c>
      <c r="B11">
        <f>0.09*B4</f>
        <v>81</v>
      </c>
      <c r="C11" t="s">
        <v>373</v>
      </c>
      <c r="D11">
        <v>2024</v>
      </c>
    </row>
    <row r="12" spans="1:7">
      <c r="A12" t="s">
        <v>330</v>
      </c>
      <c r="B12">
        <v>4242.5</v>
      </c>
      <c r="C12" t="s">
        <v>397</v>
      </c>
      <c r="D12">
        <v>2023</v>
      </c>
      <c r="E12" s="41">
        <v>6.5000000000000002E-2</v>
      </c>
      <c r="F12" t="s">
        <v>379</v>
      </c>
      <c r="G12" t="s">
        <v>380</v>
      </c>
    </row>
    <row r="13" spans="1:7">
      <c r="A13" t="s">
        <v>330</v>
      </c>
      <c r="B13">
        <v>6872.1</v>
      </c>
      <c r="C13" t="s">
        <v>397</v>
      </c>
      <c r="D13">
        <v>2030</v>
      </c>
      <c r="F13" t="s">
        <v>379</v>
      </c>
    </row>
    <row r="14" spans="1:7">
      <c r="A14" t="s">
        <v>330</v>
      </c>
      <c r="B14">
        <f>3.2*10^3</f>
        <v>3200</v>
      </c>
      <c r="C14" t="s">
        <v>575</v>
      </c>
      <c r="D14">
        <v>2021</v>
      </c>
      <c r="F14" t="s">
        <v>408</v>
      </c>
    </row>
    <row r="15" spans="1:7">
      <c r="B15" s="49">
        <f>B14/6.45</f>
        <v>496.12403100775191</v>
      </c>
      <c r="C15" t="s">
        <v>397</v>
      </c>
    </row>
    <row r="16" spans="1:7">
      <c r="A16" t="s">
        <v>132</v>
      </c>
      <c r="B16">
        <v>287.2</v>
      </c>
      <c r="C16" t="s">
        <v>397</v>
      </c>
      <c r="D16">
        <v>2023</v>
      </c>
      <c r="F16" s="38" t="s">
        <v>398</v>
      </c>
    </row>
    <row r="17" spans="1:6">
      <c r="A17" t="s">
        <v>132</v>
      </c>
      <c r="B17">
        <v>560.5</v>
      </c>
      <c r="C17" t="s">
        <v>397</v>
      </c>
      <c r="D17">
        <v>2030</v>
      </c>
      <c r="E17" s="26">
        <v>9.4E-2</v>
      </c>
      <c r="F17" t="s">
        <v>398</v>
      </c>
    </row>
    <row r="18" spans="1:6">
      <c r="A18" t="s">
        <v>569</v>
      </c>
      <c r="B18">
        <v>17610</v>
      </c>
      <c r="C18" t="s">
        <v>571</v>
      </c>
      <c r="D18">
        <v>2022</v>
      </c>
      <c r="F18" s="38" t="s">
        <v>570</v>
      </c>
    </row>
    <row r="19" spans="1:6">
      <c r="A19" t="s">
        <v>569</v>
      </c>
      <c r="B19">
        <f>35.34*10^3</f>
        <v>35340</v>
      </c>
      <c r="C19" t="s">
        <v>397</v>
      </c>
      <c r="D19">
        <v>2032</v>
      </c>
      <c r="E19" s="26">
        <v>8.2600000000000007E-2</v>
      </c>
      <c r="F19" t="s">
        <v>570</v>
      </c>
    </row>
    <row r="20" spans="1:6">
      <c r="A20" t="s">
        <v>569</v>
      </c>
      <c r="B20">
        <v>255000</v>
      </c>
      <c r="C20" t="s">
        <v>397</v>
      </c>
      <c r="D20">
        <v>2030</v>
      </c>
      <c r="E20" s="26">
        <v>5.2999999999999999E-2</v>
      </c>
      <c r="F20" t="s">
        <v>572</v>
      </c>
    </row>
    <row r="21" spans="1:6">
      <c r="A21" t="s">
        <v>599</v>
      </c>
      <c r="B21">
        <v>66.099999999999994</v>
      </c>
      <c r="C21" t="s">
        <v>600</v>
      </c>
      <c r="D21">
        <v>2023</v>
      </c>
      <c r="F21" t="s">
        <v>601</v>
      </c>
    </row>
    <row r="22" spans="1:6">
      <c r="A22" t="s">
        <v>423</v>
      </c>
      <c r="B22">
        <v>101.7</v>
      </c>
      <c r="C22" t="s">
        <v>600</v>
      </c>
      <c r="D22">
        <v>2030</v>
      </c>
      <c r="E22" s="26">
        <v>6.3E-2</v>
      </c>
      <c r="F22" t="s">
        <v>601</v>
      </c>
    </row>
    <row r="23" spans="1:6" ht="17" customHeight="1">
      <c r="A23" t="s">
        <v>11</v>
      </c>
      <c r="B23">
        <v>826.5</v>
      </c>
      <c r="C23" t="s">
        <v>600</v>
      </c>
      <c r="D23">
        <v>2023</v>
      </c>
      <c r="F23" t="s">
        <v>602</v>
      </c>
    </row>
    <row r="24" spans="1:6">
      <c r="A24" t="s">
        <v>11</v>
      </c>
      <c r="B24">
        <v>1451.5</v>
      </c>
      <c r="C24" t="s">
        <v>600</v>
      </c>
      <c r="D24">
        <v>2030</v>
      </c>
      <c r="E24" s="26">
        <v>7.8E-2</v>
      </c>
      <c r="F24" t="s">
        <v>602</v>
      </c>
    </row>
    <row r="25" spans="1:6">
      <c r="A25" t="s">
        <v>19</v>
      </c>
      <c r="B25">
        <v>158.1</v>
      </c>
      <c r="C25" t="s">
        <v>600</v>
      </c>
      <c r="D25">
        <v>2022</v>
      </c>
      <c r="F25" t="s">
        <v>603</v>
      </c>
    </row>
    <row r="26" spans="1:6">
      <c r="A26" t="s">
        <v>19</v>
      </c>
      <c r="B26">
        <v>226.7</v>
      </c>
      <c r="C26" t="s">
        <v>600</v>
      </c>
      <c r="D26">
        <v>2030</v>
      </c>
      <c r="E26" s="26">
        <v>4.5999999999999999E-2</v>
      </c>
      <c r="F26" t="s">
        <v>603</v>
      </c>
    </row>
    <row r="27" spans="1:6">
      <c r="A27" t="s">
        <v>214</v>
      </c>
      <c r="B27">
        <v>2700</v>
      </c>
      <c r="D27">
        <v>2022</v>
      </c>
      <c r="F27" t="s">
        <v>604</v>
      </c>
    </row>
    <row r="28" spans="1:6">
      <c r="A28" t="s">
        <v>214</v>
      </c>
      <c r="D28">
        <v>2030</v>
      </c>
      <c r="E28" s="26">
        <v>4.3999999999999997E-2</v>
      </c>
      <c r="F28" t="s">
        <v>604</v>
      </c>
    </row>
    <row r="30" spans="1:6">
      <c r="A30" t="s">
        <v>574</v>
      </c>
    </row>
    <row r="31" spans="1:6">
      <c r="A31" t="s">
        <v>213</v>
      </c>
      <c r="B31" s="26">
        <f>B4/B2</f>
        <v>0.17857142857142858</v>
      </c>
    </row>
    <row r="32" spans="1:6">
      <c r="A32" t="s">
        <v>330</v>
      </c>
      <c r="B32" s="26">
        <f>B15/B12</f>
        <v>0.11694143335480305</v>
      </c>
    </row>
    <row r="33" spans="1:7">
      <c r="A33" t="s">
        <v>607</v>
      </c>
      <c r="B33" s="26">
        <v>1</v>
      </c>
      <c r="C33" t="s">
        <v>648</v>
      </c>
    </row>
    <row r="34" spans="1:7">
      <c r="C34" t="s">
        <v>596</v>
      </c>
      <c r="D34" t="s">
        <v>595</v>
      </c>
      <c r="E34" t="s">
        <v>605</v>
      </c>
      <c r="F34" t="s">
        <v>26</v>
      </c>
      <c r="G34" t="s">
        <v>647</v>
      </c>
    </row>
    <row r="35" spans="1:7">
      <c r="A35" t="s">
        <v>540</v>
      </c>
      <c r="B35">
        <v>2022</v>
      </c>
      <c r="C35" s="52">
        <f>B16*B33*0.84</f>
        <v>241.24799999999999</v>
      </c>
      <c r="D35" t="s">
        <v>373</v>
      </c>
      <c r="E35" s="52">
        <f>C35/'cost estimate'!$B$7*10^6</f>
        <v>335164.69148936163</v>
      </c>
      <c r="F35" t="s">
        <v>606</v>
      </c>
      <c r="G35" s="26">
        <v>9.4E-2</v>
      </c>
    </row>
    <row r="36" spans="1:7">
      <c r="A36" t="s">
        <v>541</v>
      </c>
      <c r="B36">
        <v>2022</v>
      </c>
      <c r="C36" s="52">
        <v>36</v>
      </c>
      <c r="D36" t="s">
        <v>373</v>
      </c>
      <c r="E36" s="52">
        <f>C36/'cost estimate'!$B$7*10^6</f>
        <v>50014.627659574464</v>
      </c>
      <c r="F36" t="s">
        <v>606</v>
      </c>
      <c r="G36" s="26">
        <v>0.189</v>
      </c>
    </row>
    <row r="37" spans="1:7">
      <c r="A37" t="s">
        <v>542</v>
      </c>
      <c r="B37">
        <v>2022</v>
      </c>
      <c r="C37" s="52">
        <f>B25*0.84*B33</f>
        <v>132.804</v>
      </c>
      <c r="D37" t="s">
        <v>373</v>
      </c>
      <c r="E37" s="52">
        <f>C37/'cost estimate'!$B$7*10^6</f>
        <v>184503.96143617018</v>
      </c>
      <c r="F37" t="s">
        <v>606</v>
      </c>
      <c r="G37" s="26">
        <v>4.5999999999999999E-2</v>
      </c>
    </row>
    <row r="38" spans="1:7">
      <c r="A38" t="s">
        <v>539</v>
      </c>
      <c r="B38">
        <v>2022</v>
      </c>
      <c r="C38" s="52">
        <f>B12*0.84</f>
        <v>3563.7</v>
      </c>
      <c r="D38" t="s">
        <v>373</v>
      </c>
      <c r="E38" s="52">
        <f>C38/'cost estimate'!$B$7*10^6</f>
        <v>4951031.3497340409</v>
      </c>
      <c r="F38" t="s">
        <v>606</v>
      </c>
      <c r="G38" s="41">
        <v>7.0000000000000007E-2</v>
      </c>
    </row>
    <row r="39" spans="1:7">
      <c r="A39" t="s">
        <v>543</v>
      </c>
      <c r="B39">
        <v>2022</v>
      </c>
      <c r="C39" s="52">
        <v>27</v>
      </c>
      <c r="D39" t="s">
        <v>373</v>
      </c>
      <c r="E39" s="52">
        <f>C39/'cost estimate'!$B$7*10^6</f>
        <v>37510.970744680839</v>
      </c>
      <c r="F39" t="s">
        <v>606</v>
      </c>
      <c r="G39" s="26">
        <v>0.189</v>
      </c>
    </row>
    <row r="40" spans="1:7">
      <c r="A40" t="s">
        <v>544</v>
      </c>
      <c r="B40">
        <v>2022</v>
      </c>
      <c r="C40" s="52">
        <v>180</v>
      </c>
      <c r="D40" t="s">
        <v>373</v>
      </c>
      <c r="E40" s="52">
        <f>C40/'cost estimate'!$B$7*10^6</f>
        <v>250073.1382978723</v>
      </c>
      <c r="F40" t="s">
        <v>606</v>
      </c>
      <c r="G40" s="26">
        <v>0.189</v>
      </c>
    </row>
    <row r="41" spans="1:7">
      <c r="A41" t="s">
        <v>545</v>
      </c>
      <c r="B41">
        <v>2022</v>
      </c>
      <c r="C41" s="52">
        <v>234</v>
      </c>
      <c r="D41" t="s">
        <v>373</v>
      </c>
      <c r="E41" s="52">
        <f>C41/'cost estimate'!$B$7*10^6</f>
        <v>325095.07978723402</v>
      </c>
      <c r="F41" t="s">
        <v>606</v>
      </c>
      <c r="G41" s="26">
        <v>0.189</v>
      </c>
    </row>
    <row r="42" spans="1:7">
      <c r="A42" t="s">
        <v>546</v>
      </c>
      <c r="B42">
        <v>2022</v>
      </c>
      <c r="C42" s="52">
        <f>B23*0.84*B33</f>
        <v>694.26</v>
      </c>
      <c r="D42" t="s">
        <v>373</v>
      </c>
      <c r="E42" s="52">
        <f>C42/'cost estimate'!$B$7*10^6</f>
        <v>964532.09441489342</v>
      </c>
      <c r="F42" t="s">
        <v>606</v>
      </c>
      <c r="G42" s="41">
        <v>6.5000000000000002E-2</v>
      </c>
    </row>
    <row r="43" spans="1:7">
      <c r="A43" t="s">
        <v>547</v>
      </c>
      <c r="B43">
        <v>2022</v>
      </c>
      <c r="C43" s="52">
        <f>66.1*0.84</f>
        <v>55.523999999999994</v>
      </c>
      <c r="D43" t="s">
        <v>373</v>
      </c>
      <c r="E43" s="52">
        <f>C43/'cost estimate'!$B$7*10^6</f>
        <v>77139.22739361701</v>
      </c>
      <c r="F43" t="s">
        <v>606</v>
      </c>
      <c r="G43" s="26">
        <v>6.3E-2</v>
      </c>
    </row>
    <row r="44" spans="1:7">
      <c r="A44" t="s">
        <v>548</v>
      </c>
      <c r="B44">
        <v>2022</v>
      </c>
      <c r="C44" s="52">
        <f>B4-SUM(C40,C41,C39,C36)</f>
        <v>423</v>
      </c>
      <c r="D44" t="s">
        <v>373</v>
      </c>
      <c r="E44" s="52">
        <f>C44/'cost estimate'!$B$7*10^6</f>
        <v>587671.875</v>
      </c>
      <c r="F44" t="s">
        <v>606</v>
      </c>
      <c r="G44" s="26">
        <v>0.189</v>
      </c>
    </row>
    <row r="45" spans="1:7">
      <c r="A45" t="s">
        <v>449</v>
      </c>
      <c r="B45">
        <v>2022</v>
      </c>
      <c r="C45" s="52">
        <f>B18*B33*0.84 - SUM(C38:C44,C46,C35:C37)</f>
        <v>6936.8639999999996</v>
      </c>
      <c r="D45" t="s">
        <v>373</v>
      </c>
      <c r="E45" s="52">
        <f>C45/'cost estimate'!$B$7*10^6</f>
        <v>9637351.9468085077</v>
      </c>
      <c r="F45" t="s">
        <v>606</v>
      </c>
      <c r="G45" s="26">
        <v>8.2600000000000007E-2</v>
      </c>
    </row>
    <row r="46" spans="1:7">
      <c r="A46" t="s">
        <v>214</v>
      </c>
      <c r="B46">
        <v>2022</v>
      </c>
      <c r="C46" s="52">
        <f>B27*B33*0.84</f>
        <v>2268</v>
      </c>
      <c r="D46" t="s">
        <v>373</v>
      </c>
      <c r="E46" s="52">
        <f>C46/'cost estimate'!$B$7*10^6</f>
        <v>3150921.5425531911</v>
      </c>
      <c r="F46" t="s">
        <v>606</v>
      </c>
      <c r="G46" s="26">
        <v>0.04</v>
      </c>
    </row>
    <row r="47" spans="1:7">
      <c r="E47" s="51">
        <f>SUM(E35:E46)</f>
        <v>20551010.505319145</v>
      </c>
    </row>
    <row r="48" spans="1:7">
      <c r="A48" t="s">
        <v>597</v>
      </c>
    </row>
    <row r="49" spans="1:19">
      <c r="A49" t="s">
        <v>598</v>
      </c>
    </row>
    <row r="51" spans="1:19">
      <c r="A51" t="s">
        <v>614</v>
      </c>
    </row>
    <row r="52" spans="1:19">
      <c r="A52">
        <f>1/32.3</f>
        <v>3.0959752321981428E-2</v>
      </c>
    </row>
    <row r="53" spans="1:19">
      <c r="A53" t="s">
        <v>313</v>
      </c>
      <c r="B53" s="26">
        <v>9.4E-2</v>
      </c>
      <c r="C53" s="26">
        <v>0.189</v>
      </c>
      <c r="D53" s="26">
        <v>4.5999999999999999E-2</v>
      </c>
      <c r="E53" s="41">
        <v>6.5000000000000002E-2</v>
      </c>
      <c r="F53" s="26">
        <v>0.189</v>
      </c>
      <c r="G53" s="26">
        <v>0.189</v>
      </c>
      <c r="H53" s="26">
        <v>0.189</v>
      </c>
      <c r="I53" s="41">
        <v>6.5000000000000002E-2</v>
      </c>
      <c r="J53" s="41">
        <v>6.5000000000000002E-2</v>
      </c>
      <c r="K53" s="26">
        <v>0.189</v>
      </c>
      <c r="L53" s="26">
        <v>8.2600000000000007E-2</v>
      </c>
      <c r="M53" s="26">
        <v>0.04</v>
      </c>
      <c r="N53" s="52"/>
      <c r="O53" s="52"/>
      <c r="P53" s="26"/>
    </row>
    <row r="54" spans="1:19">
      <c r="B54" s="1" t="s">
        <v>540</v>
      </c>
      <c r="C54" s="1" t="s">
        <v>541</v>
      </c>
      <c r="D54" s="1" t="s">
        <v>542</v>
      </c>
      <c r="E54" s="1" t="s">
        <v>539</v>
      </c>
      <c r="F54" s="1" t="s">
        <v>543</v>
      </c>
      <c r="G54" s="1" t="s">
        <v>544</v>
      </c>
      <c r="H54" s="1" t="s">
        <v>545</v>
      </c>
      <c r="I54" s="1" t="s">
        <v>546</v>
      </c>
      <c r="J54" s="1" t="s">
        <v>547</v>
      </c>
      <c r="K54" s="1" t="s">
        <v>548</v>
      </c>
      <c r="L54" s="1" t="s">
        <v>449</v>
      </c>
      <c r="M54" s="1" t="s">
        <v>214</v>
      </c>
      <c r="N54" s="1" t="s">
        <v>26</v>
      </c>
      <c r="O54" s="1"/>
    </row>
    <row r="55" spans="1:19">
      <c r="A55" s="1">
        <v>2022</v>
      </c>
      <c r="B55" s="126">
        <f>C35/'cost estimate'!D7</f>
        <v>2.681317531914893</v>
      </c>
      <c r="C55" s="126">
        <f>C36/'cost estimate'!D7</f>
        <v>0.40011702127659571</v>
      </c>
      <c r="D55" s="126">
        <f>C37/'cost estimate'!D7</f>
        <v>1.4760316914893614</v>
      </c>
      <c r="E55" s="126">
        <f>C38/'cost estimate'!D7</f>
        <v>39.60825079787233</v>
      </c>
      <c r="F55" s="126">
        <f>C39/'cost estimate'!D7</f>
        <v>0.30008776595744674</v>
      </c>
      <c r="G55" s="126">
        <f>C40/'cost estimate'!D7</f>
        <v>2.0005851063829785</v>
      </c>
      <c r="H55" s="126">
        <f>C41/'cost estimate'!D7</f>
        <v>2.6007606382978721</v>
      </c>
      <c r="I55" s="126">
        <f>C42/'cost estimate'!D7</f>
        <v>7.7162567553191472</v>
      </c>
      <c r="J55" s="126">
        <f>C43/'cost estimate'!D7</f>
        <v>0.61711381914893604</v>
      </c>
      <c r="K55" s="126">
        <f>C44/'cost estimate'!D7</f>
        <v>4.7013749999999996</v>
      </c>
      <c r="L55" s="126">
        <f>C45/'cost estimate'!D7</f>
        <v>77.098815574468063</v>
      </c>
      <c r="M55" s="126">
        <f>C46/'cost estimate'!D7</f>
        <v>25.207372340425529</v>
      </c>
      <c r="N55" s="1" t="s">
        <v>185</v>
      </c>
      <c r="O55" s="52"/>
      <c r="S55" s="52"/>
    </row>
    <row r="56" spans="1:19">
      <c r="A56" s="1">
        <v>2023</v>
      </c>
      <c r="B56" s="72">
        <f t="shared" ref="B56:B68" si="0">B$55*(1+B$53)^($A56-$A$55)</f>
        <v>2.933361379914893</v>
      </c>
      <c r="C56" s="72">
        <f t="shared" ref="C56:M56" si="1">C$55*(1+C$53)^($A56-$A$55)</f>
        <v>0.47573913829787234</v>
      </c>
      <c r="D56" s="72">
        <f t="shared" si="1"/>
        <v>1.5439291492978722</v>
      </c>
      <c r="E56" s="72">
        <f t="shared" si="1"/>
        <v>42.182787099734028</v>
      </c>
      <c r="F56" s="72">
        <f t="shared" si="1"/>
        <v>0.35680435372340419</v>
      </c>
      <c r="G56" s="72">
        <f t="shared" si="1"/>
        <v>2.3786956914893613</v>
      </c>
      <c r="H56" s="72">
        <f t="shared" si="1"/>
        <v>3.0923043989361703</v>
      </c>
      <c r="I56" s="72">
        <f t="shared" si="1"/>
        <v>8.217813444414892</v>
      </c>
      <c r="J56" s="126">
        <f t="shared" ref="J56:J68" si="2">J$55*(1+J$53)^($A56-$A$55)</f>
        <v>0.65722621739361686</v>
      </c>
      <c r="K56" s="72">
        <f t="shared" si="1"/>
        <v>5.589934875</v>
      </c>
      <c r="L56" s="72">
        <f t="shared" si="1"/>
        <v>83.467177740919126</v>
      </c>
      <c r="M56" s="72">
        <f t="shared" si="1"/>
        <v>26.215667234042552</v>
      </c>
      <c r="N56" s="1" t="s">
        <v>185</v>
      </c>
      <c r="O56" s="52"/>
      <c r="S56" s="52"/>
    </row>
    <row r="57" spans="1:19">
      <c r="A57" s="1">
        <v>2024</v>
      </c>
      <c r="B57" s="72">
        <f t="shared" si="0"/>
        <v>3.2090973496268935</v>
      </c>
      <c r="C57" s="72">
        <f t="shared" ref="C57:I68" si="3">C$55*(1+C$53)^($A57-$A$55)</f>
        <v>0.5656538354361702</v>
      </c>
      <c r="D57" s="72">
        <f t="shared" si="3"/>
        <v>1.6149498901655743</v>
      </c>
      <c r="E57" s="72">
        <f t="shared" si="3"/>
        <v>44.924668261216738</v>
      </c>
      <c r="F57" s="72">
        <f t="shared" si="3"/>
        <v>0.42424037657712765</v>
      </c>
      <c r="G57" s="72">
        <f t="shared" si="3"/>
        <v>2.828269177180851</v>
      </c>
      <c r="H57" s="72">
        <f t="shared" si="3"/>
        <v>3.6767499303351068</v>
      </c>
      <c r="I57" s="72">
        <f t="shared" si="3"/>
        <v>8.7519713183018588</v>
      </c>
      <c r="J57" s="126">
        <f t="shared" si="2"/>
        <v>0.69994592152420188</v>
      </c>
      <c r="K57" s="72">
        <f t="shared" ref="K57:M68" si="4">K$55*(1+K$53)^($A57-$A$55)</f>
        <v>6.6464325663750001</v>
      </c>
      <c r="L57" s="72">
        <f t="shared" si="4"/>
        <v>90.361566622319046</v>
      </c>
      <c r="M57" s="72">
        <f t="shared" si="4"/>
        <v>27.264293923404257</v>
      </c>
      <c r="N57" s="1" t="s">
        <v>185</v>
      </c>
      <c r="O57" s="52"/>
      <c r="S57" s="52"/>
    </row>
    <row r="58" spans="1:19">
      <c r="A58" s="1">
        <v>2025</v>
      </c>
      <c r="B58" s="72">
        <f t="shared" si="0"/>
        <v>3.5107525004918214</v>
      </c>
      <c r="C58" s="72">
        <f t="shared" si="3"/>
        <v>0.67256241033360642</v>
      </c>
      <c r="D58" s="72">
        <f t="shared" si="3"/>
        <v>1.6892375851131909</v>
      </c>
      <c r="E58" s="72">
        <f t="shared" si="3"/>
        <v>47.844771698195821</v>
      </c>
      <c r="F58" s="72">
        <f t="shared" si="3"/>
        <v>0.50442180775020473</v>
      </c>
      <c r="G58" s="72">
        <f t="shared" si="3"/>
        <v>3.362812051668032</v>
      </c>
      <c r="H58" s="72">
        <f t="shared" si="3"/>
        <v>4.3716556671684419</v>
      </c>
      <c r="I58" s="72">
        <f t="shared" si="3"/>
        <v>9.3208494539914781</v>
      </c>
      <c r="J58" s="126">
        <f t="shared" si="2"/>
        <v>0.74544240642327497</v>
      </c>
      <c r="K58" s="72">
        <f t="shared" si="4"/>
        <v>7.9026083214198755</v>
      </c>
      <c r="L58" s="72">
        <f t="shared" si="4"/>
        <v>97.825432025322584</v>
      </c>
      <c r="M58" s="72">
        <f t="shared" si="4"/>
        <v>28.354865680340424</v>
      </c>
      <c r="N58" s="1" t="s">
        <v>185</v>
      </c>
      <c r="O58" s="52"/>
      <c r="S58" s="52"/>
    </row>
    <row r="59" spans="1:19">
      <c r="A59" s="1">
        <v>2026</v>
      </c>
      <c r="B59" s="72">
        <f t="shared" si="0"/>
        <v>3.840763235538053</v>
      </c>
      <c r="C59" s="72">
        <f t="shared" si="3"/>
        <v>0.79967670588665818</v>
      </c>
      <c r="D59" s="72">
        <f t="shared" si="3"/>
        <v>1.7669425140283976</v>
      </c>
      <c r="E59" s="72">
        <f t="shared" si="3"/>
        <v>50.954681858578546</v>
      </c>
      <c r="F59" s="72">
        <f t="shared" si="3"/>
        <v>0.59975752941499361</v>
      </c>
      <c r="G59" s="72">
        <f t="shared" si="3"/>
        <v>3.998383529433291</v>
      </c>
      <c r="H59" s="72">
        <f t="shared" si="3"/>
        <v>5.1978985882632784</v>
      </c>
      <c r="I59" s="72">
        <f t="shared" si="3"/>
        <v>9.926704668500923</v>
      </c>
      <c r="J59" s="126">
        <f t="shared" si="2"/>
        <v>0.79389616284078779</v>
      </c>
      <c r="K59" s="72">
        <f t="shared" si="4"/>
        <v>9.3962012941682342</v>
      </c>
      <c r="L59" s="72">
        <f t="shared" si="4"/>
        <v>105.90581271061423</v>
      </c>
      <c r="M59" s="72">
        <f t="shared" si="4"/>
        <v>29.489060307554045</v>
      </c>
      <c r="N59" s="1" t="s">
        <v>185</v>
      </c>
      <c r="O59" s="52"/>
      <c r="S59" s="52"/>
    </row>
    <row r="60" spans="1:19">
      <c r="A60" s="1">
        <v>2027</v>
      </c>
      <c r="B60" s="72">
        <f t="shared" si="0"/>
        <v>4.2017949796786302</v>
      </c>
      <c r="C60" s="72">
        <f t="shared" si="3"/>
        <v>0.95081560329923664</v>
      </c>
      <c r="D60" s="72">
        <f t="shared" si="3"/>
        <v>1.8482218696737041</v>
      </c>
      <c r="E60" s="72">
        <f t="shared" si="3"/>
        <v>54.26673617938615</v>
      </c>
      <c r="F60" s="72">
        <f t="shared" si="3"/>
        <v>0.71311170247442734</v>
      </c>
      <c r="G60" s="72">
        <f t="shared" si="3"/>
        <v>4.7540780164961829</v>
      </c>
      <c r="H60" s="72">
        <f t="shared" si="3"/>
        <v>6.180301421445038</v>
      </c>
      <c r="I60" s="72">
        <f t="shared" si="3"/>
        <v>10.571940471953484</v>
      </c>
      <c r="J60" s="126">
        <f t="shared" si="2"/>
        <v>0.84549941342543899</v>
      </c>
      <c r="K60" s="72">
        <f t="shared" si="4"/>
        <v>11.172083338766029</v>
      </c>
      <c r="L60" s="72">
        <f t="shared" si="4"/>
        <v>114.65363284051097</v>
      </c>
      <c r="M60" s="72">
        <f t="shared" si="4"/>
        <v>30.668622719856209</v>
      </c>
      <c r="N60" s="1" t="s">
        <v>185</v>
      </c>
      <c r="O60" s="52"/>
      <c r="S60" s="52"/>
    </row>
    <row r="61" spans="1:19">
      <c r="A61" s="1">
        <v>2028</v>
      </c>
      <c r="B61" s="72">
        <f t="shared" si="0"/>
        <v>4.5967637077684218</v>
      </c>
      <c r="C61" s="72">
        <f t="shared" si="3"/>
        <v>1.1305197523227926</v>
      </c>
      <c r="D61" s="72">
        <f t="shared" si="3"/>
        <v>1.9332400756786945</v>
      </c>
      <c r="E61" s="72">
        <f t="shared" si="3"/>
        <v>57.794074031046243</v>
      </c>
      <c r="F61" s="72">
        <f t="shared" si="3"/>
        <v>0.84788981424209431</v>
      </c>
      <c r="G61" s="72">
        <f t="shared" si="3"/>
        <v>5.6525987616139624</v>
      </c>
      <c r="H61" s="72">
        <f t="shared" si="3"/>
        <v>7.3483783900981514</v>
      </c>
      <c r="I61" s="72">
        <f t="shared" si="3"/>
        <v>11.259116602630458</v>
      </c>
      <c r="J61" s="126">
        <f t="shared" si="2"/>
        <v>0.90045687529809237</v>
      </c>
      <c r="K61" s="72">
        <f t="shared" si="4"/>
        <v>13.283607089792813</v>
      </c>
      <c r="L61" s="72">
        <f t="shared" si="4"/>
        <v>124.12402291313718</v>
      </c>
      <c r="M61" s="72">
        <f t="shared" si="4"/>
        <v>31.895367628650458</v>
      </c>
      <c r="N61" s="1" t="s">
        <v>185</v>
      </c>
      <c r="O61" s="52"/>
      <c r="S61" s="52"/>
    </row>
    <row r="62" spans="1:19">
      <c r="A62" s="1">
        <v>2029</v>
      </c>
      <c r="B62" s="72">
        <f t="shared" si="0"/>
        <v>5.0288594962986535</v>
      </c>
      <c r="C62" s="72">
        <f t="shared" si="3"/>
        <v>1.3441879855118004</v>
      </c>
      <c r="D62" s="72">
        <f t="shared" si="3"/>
        <v>2.0221691191599147</v>
      </c>
      <c r="E62" s="72">
        <f t="shared" si="3"/>
        <v>61.550688843064236</v>
      </c>
      <c r="F62" s="72">
        <f t="shared" si="3"/>
        <v>1.0081409891338502</v>
      </c>
      <c r="G62" s="72">
        <f t="shared" si="3"/>
        <v>6.7209399275590016</v>
      </c>
      <c r="H62" s="72">
        <f t="shared" si="3"/>
        <v>8.7372219058267024</v>
      </c>
      <c r="I62" s="72">
        <f t="shared" si="3"/>
        <v>11.990959181801436</v>
      </c>
      <c r="J62" s="126">
        <f t="shared" si="2"/>
        <v>0.95898657219246819</v>
      </c>
      <c r="K62" s="72">
        <f t="shared" si="4"/>
        <v>15.794208829763654</v>
      </c>
      <c r="L62" s="72">
        <f t="shared" si="4"/>
        <v>134.37666720576229</v>
      </c>
      <c r="M62" s="72">
        <f t="shared" si="4"/>
        <v>33.171182333796473</v>
      </c>
      <c r="N62" s="1" t="s">
        <v>185</v>
      </c>
      <c r="O62" s="52"/>
      <c r="S62" s="52"/>
    </row>
    <row r="63" spans="1:19">
      <c r="A63" s="1">
        <v>2030</v>
      </c>
      <c r="B63" s="72">
        <f t="shared" si="0"/>
        <v>5.5015722889507277</v>
      </c>
      <c r="C63" s="72">
        <f t="shared" si="3"/>
        <v>1.5982395147735309</v>
      </c>
      <c r="D63" s="72">
        <f t="shared" si="3"/>
        <v>2.1151888986412706</v>
      </c>
      <c r="E63" s="72">
        <f t="shared" si="3"/>
        <v>65.551483617863411</v>
      </c>
      <c r="F63" s="72">
        <f t="shared" si="3"/>
        <v>1.1986796360801479</v>
      </c>
      <c r="G63" s="72">
        <f t="shared" si="3"/>
        <v>7.9911975738676535</v>
      </c>
      <c r="H63" s="72">
        <f t="shared" si="3"/>
        <v>10.388556846027949</v>
      </c>
      <c r="I63" s="72">
        <f t="shared" si="3"/>
        <v>12.770371528618529</v>
      </c>
      <c r="J63" s="126">
        <f t="shared" si="2"/>
        <v>1.0213206993849786</v>
      </c>
      <c r="K63" s="72">
        <f t="shared" si="4"/>
        <v>18.779314298588986</v>
      </c>
      <c r="L63" s="72">
        <f t="shared" si="4"/>
        <v>145.47617991695824</v>
      </c>
      <c r="M63" s="72">
        <f t="shared" si="4"/>
        <v>34.498029627148341</v>
      </c>
      <c r="N63" s="1" t="s">
        <v>185</v>
      </c>
      <c r="O63" s="52"/>
      <c r="S63" s="52"/>
    </row>
    <row r="64" spans="1:19">
      <c r="A64" s="1">
        <v>2031</v>
      </c>
      <c r="B64" s="72">
        <f t="shared" si="0"/>
        <v>6.0187200841120969</v>
      </c>
      <c r="C64" s="72">
        <f t="shared" si="3"/>
        <v>1.9003067830657283</v>
      </c>
      <c r="D64" s="72">
        <f t="shared" si="3"/>
        <v>2.2124875879787691</v>
      </c>
      <c r="E64" s="72">
        <f t="shared" si="3"/>
        <v>69.812330053024525</v>
      </c>
      <c r="F64" s="72">
        <f t="shared" si="3"/>
        <v>1.425230087299296</v>
      </c>
      <c r="G64" s="72">
        <f t="shared" si="3"/>
        <v>9.5015339153286416</v>
      </c>
      <c r="H64" s="72">
        <f t="shared" si="3"/>
        <v>12.351994089927235</v>
      </c>
      <c r="I64" s="72">
        <f t="shared" si="3"/>
        <v>13.600445677978733</v>
      </c>
      <c r="J64" s="126">
        <f t="shared" si="2"/>
        <v>1.0877065448450023</v>
      </c>
      <c r="K64" s="72">
        <f t="shared" si="4"/>
        <v>22.328604701022307</v>
      </c>
      <c r="L64" s="72">
        <f t="shared" si="4"/>
        <v>157.49251237809904</v>
      </c>
      <c r="M64" s="72">
        <f t="shared" si="4"/>
        <v>35.877950812234275</v>
      </c>
      <c r="N64" s="1" t="s">
        <v>185</v>
      </c>
      <c r="O64" s="52"/>
      <c r="S64" s="52"/>
    </row>
    <row r="65" spans="1:19">
      <c r="A65" s="1">
        <v>2032</v>
      </c>
      <c r="B65" s="72">
        <f t="shared" si="0"/>
        <v>6.5844797720186339</v>
      </c>
      <c r="C65" s="72">
        <f t="shared" si="3"/>
        <v>2.2594647650651511</v>
      </c>
      <c r="D65" s="72">
        <f t="shared" si="3"/>
        <v>2.3142620170257926</v>
      </c>
      <c r="E65" s="72">
        <f t="shared" si="3"/>
        <v>74.350131506471115</v>
      </c>
      <c r="F65" s="72">
        <f t="shared" si="3"/>
        <v>1.6945985737988631</v>
      </c>
      <c r="G65" s="72">
        <f t="shared" si="3"/>
        <v>11.297323825325757</v>
      </c>
      <c r="H65" s="72">
        <f t="shared" si="3"/>
        <v>14.686520972923484</v>
      </c>
      <c r="I65" s="72">
        <f t="shared" si="3"/>
        <v>14.48447464704735</v>
      </c>
      <c r="J65" s="126">
        <f t="shared" si="2"/>
        <v>1.1584074702599272</v>
      </c>
      <c r="K65" s="72">
        <f t="shared" si="4"/>
        <v>26.548710989515527</v>
      </c>
      <c r="L65" s="72">
        <f t="shared" si="4"/>
        <v>170.50139390052996</v>
      </c>
      <c r="M65" s="72">
        <f t="shared" si="4"/>
        <v>37.313068844723645</v>
      </c>
      <c r="N65" s="1" t="s">
        <v>185</v>
      </c>
      <c r="O65" s="52"/>
      <c r="S65" s="52"/>
    </row>
    <row r="66" spans="1:19">
      <c r="A66" s="1">
        <v>2033</v>
      </c>
      <c r="B66" s="72">
        <f t="shared" si="0"/>
        <v>7.2034208705883858</v>
      </c>
      <c r="C66" s="72">
        <f t="shared" si="3"/>
        <v>2.6865036056624647</v>
      </c>
      <c r="D66" s="72">
        <f t="shared" si="3"/>
        <v>2.4207180698089794</v>
      </c>
      <c r="E66" s="72">
        <f t="shared" si="3"/>
        <v>79.182890054391734</v>
      </c>
      <c r="F66" s="72">
        <f t="shared" si="3"/>
        <v>2.0148777042468482</v>
      </c>
      <c r="G66" s="72">
        <f t="shared" si="3"/>
        <v>13.432518028312323</v>
      </c>
      <c r="H66" s="72">
        <f t="shared" si="3"/>
        <v>17.462273436806019</v>
      </c>
      <c r="I66" s="72">
        <f t="shared" si="3"/>
        <v>15.425965499105425</v>
      </c>
      <c r="J66" s="126">
        <f t="shared" si="2"/>
        <v>1.2337039558268224</v>
      </c>
      <c r="K66" s="72">
        <f t="shared" si="4"/>
        <v>31.566417366533958</v>
      </c>
      <c r="L66" s="72">
        <f t="shared" si="4"/>
        <v>184.58480903671372</v>
      </c>
      <c r="M66" s="72">
        <f t="shared" si="4"/>
        <v>38.805591598512585</v>
      </c>
      <c r="N66" s="1" t="s">
        <v>185</v>
      </c>
      <c r="O66" s="52"/>
      <c r="S66" s="52"/>
    </row>
    <row r="67" spans="1:19">
      <c r="A67" s="1">
        <v>2034</v>
      </c>
      <c r="B67" s="72">
        <f t="shared" si="0"/>
        <v>7.8805424324236952</v>
      </c>
      <c r="C67" s="72">
        <f t="shared" si="3"/>
        <v>3.1942527871326711</v>
      </c>
      <c r="D67" s="72">
        <f t="shared" si="3"/>
        <v>2.5320711010201919</v>
      </c>
      <c r="E67" s="72">
        <f t="shared" si="3"/>
        <v>84.329777907927181</v>
      </c>
      <c r="F67" s="72">
        <f t="shared" si="3"/>
        <v>2.395689590349503</v>
      </c>
      <c r="G67" s="72">
        <f t="shared" si="3"/>
        <v>15.971263935663355</v>
      </c>
      <c r="H67" s="72">
        <f t="shared" si="3"/>
        <v>20.762643116362362</v>
      </c>
      <c r="I67" s="72">
        <f t="shared" si="3"/>
        <v>16.428653256547275</v>
      </c>
      <c r="J67" s="126">
        <f t="shared" si="2"/>
        <v>1.3138947129555656</v>
      </c>
      <c r="K67" s="72">
        <f t="shared" si="4"/>
        <v>37.532470248808885</v>
      </c>
      <c r="L67" s="72">
        <f t="shared" si="4"/>
        <v>199.83151426314632</v>
      </c>
      <c r="M67" s="72">
        <f t="shared" si="4"/>
        <v>40.357815262453101</v>
      </c>
      <c r="N67" s="1" t="s">
        <v>185</v>
      </c>
    </row>
    <row r="68" spans="1:19" ht="17" customHeight="1">
      <c r="A68" s="1">
        <v>2035</v>
      </c>
      <c r="B68" s="72">
        <f t="shared" si="0"/>
        <v>8.6213134210715232</v>
      </c>
      <c r="C68" s="72">
        <f t="shared" si="3"/>
        <v>3.7979665639007463</v>
      </c>
      <c r="D68" s="72">
        <f t="shared" si="3"/>
        <v>2.6485463716671211</v>
      </c>
      <c r="E68" s="72">
        <f t="shared" si="3"/>
        <v>89.811213471942452</v>
      </c>
      <c r="F68" s="72">
        <f t="shared" si="3"/>
        <v>2.848474922925559</v>
      </c>
      <c r="G68" s="72">
        <f t="shared" si="3"/>
        <v>18.989832819503729</v>
      </c>
      <c r="H68" s="72">
        <f t="shared" si="3"/>
        <v>24.686782665354851</v>
      </c>
      <c r="I68" s="72">
        <f t="shared" si="3"/>
        <v>17.496515718222849</v>
      </c>
      <c r="J68" s="126">
        <f t="shared" si="2"/>
        <v>1.3992978692976774</v>
      </c>
      <c r="K68" s="72">
        <f t="shared" si="4"/>
        <v>44.626107125833769</v>
      </c>
      <c r="L68" s="72">
        <f t="shared" si="4"/>
        <v>216.33759734128219</v>
      </c>
      <c r="M68" s="72">
        <f t="shared" si="4"/>
        <v>41.972127872951226</v>
      </c>
      <c r="N68" s="1" t="s">
        <v>185</v>
      </c>
    </row>
    <row r="69" spans="1:19" ht="17" customHeight="1">
      <c r="A69" s="1"/>
      <c r="B69" s="72"/>
      <c r="C69" s="72"/>
      <c r="D69" s="72"/>
      <c r="E69" s="72"/>
      <c r="F69" s="72"/>
      <c r="G69" s="72"/>
      <c r="H69" s="72"/>
      <c r="I69" s="72"/>
      <c r="J69" s="126"/>
      <c r="K69" s="72"/>
      <c r="L69" s="72"/>
      <c r="M69" s="72"/>
      <c r="N69" s="1"/>
    </row>
    <row r="70" spans="1:19">
      <c r="A70" t="s">
        <v>936</v>
      </c>
      <c r="B70">
        <v>0.1</v>
      </c>
    </row>
    <row r="72" spans="1:19">
      <c r="A72">
        <v>2022</v>
      </c>
      <c r="B72" s="48">
        <v>30.158021951515114</v>
      </c>
      <c r="C72" s="48">
        <v>46.425194455627015</v>
      </c>
      <c r="D72" s="48">
        <v>26.967439067167795</v>
      </c>
      <c r="E72" s="48">
        <v>15.208398766324766</v>
      </c>
      <c r="F72" s="48">
        <v>41.760035462590771</v>
      </c>
      <c r="G72" s="48">
        <v>47.014205164425192</v>
      </c>
      <c r="H72" s="48">
        <v>45.284390747652488</v>
      </c>
      <c r="I72" s="48">
        <v>42.71482284942212</v>
      </c>
      <c r="J72" s="48">
        <v>28.551641095145609</v>
      </c>
      <c r="K72" s="48">
        <v>41.792561633817854</v>
      </c>
      <c r="L72" s="48">
        <v>29.027381764759394</v>
      </c>
      <c r="M72" s="48">
        <v>52.126155410393018</v>
      </c>
    </row>
    <row r="73" spans="1:19">
      <c r="A73">
        <v>2023</v>
      </c>
      <c r="B73" s="49">
        <f>B$72*(1-$B$70)^LOG(B56/B$55,2)</f>
        <v>29.74898134501553</v>
      </c>
      <c r="C73" s="49">
        <f>C$72*(1-$B$70)^LOG(C56/C$55,2)</f>
        <v>45.219510521984816</v>
      </c>
      <c r="D73" s="49">
        <f t="shared" ref="D73:M73" si="5">D$72*(1-$B$70)^LOG(D56/D$55,2)</f>
        <v>26.783715897356085</v>
      </c>
      <c r="E73" s="49">
        <f t="shared" si="5"/>
        <v>15.063512989236113</v>
      </c>
      <c r="F73" s="49">
        <f t="shared" si="5"/>
        <v>40.675507881910455</v>
      </c>
      <c r="G73" s="49">
        <f t="shared" si="5"/>
        <v>45.793224348202997</v>
      </c>
      <c r="H73" s="49">
        <f t="shared" si="5"/>
        <v>44.108334017908355</v>
      </c>
      <c r="I73" s="49">
        <f t="shared" si="5"/>
        <v>42.307891758461629</v>
      </c>
      <c r="J73" s="49">
        <f t="shared" si="5"/>
        <v>28.279638317549704</v>
      </c>
      <c r="K73" s="49">
        <f t="shared" si="5"/>
        <v>40.707189333313934</v>
      </c>
      <c r="L73" s="49">
        <f t="shared" si="5"/>
        <v>28.679304737362553</v>
      </c>
      <c r="M73" s="49">
        <f t="shared" si="5"/>
        <v>51.81632097069258</v>
      </c>
    </row>
    <row r="74" spans="1:19">
      <c r="A74">
        <v>2024</v>
      </c>
      <c r="B74" s="49">
        <f t="shared" ref="B74:M85" si="6">B$73*(1-$B$70)^LOG(B57/B$55,2)</f>
        <v>28.947468636759837</v>
      </c>
      <c r="C74" s="49">
        <f t="shared" si="6"/>
        <v>42.901265983737488</v>
      </c>
      <c r="D74" s="49">
        <f t="shared" si="6"/>
        <v>26.420016025806259</v>
      </c>
      <c r="E74" s="49">
        <f t="shared" si="6"/>
        <v>14.777869133369007</v>
      </c>
      <c r="F74" s="49">
        <f t="shared" si="6"/>
        <v>38.590218304487223</v>
      </c>
      <c r="G74" s="49">
        <f t="shared" si="6"/>
        <v>43.445567529088528</v>
      </c>
      <c r="H74" s="49">
        <f t="shared" si="6"/>
        <v>41.847055573098757</v>
      </c>
      <c r="I74" s="49">
        <f t="shared" si="6"/>
        <v>41.505622769539144</v>
      </c>
      <c r="J74" s="49">
        <f t="shared" si="6"/>
        <v>27.743381938488309</v>
      </c>
      <c r="K74" s="49">
        <f t="shared" si="6"/>
        <v>38.620275559811795</v>
      </c>
      <c r="L74" s="49">
        <f t="shared" si="6"/>
        <v>27.995622355436119</v>
      </c>
      <c r="M74" s="49">
        <f t="shared" si="6"/>
        <v>51.202166051331474</v>
      </c>
      <c r="P74">
        <v>30.158021951515114</v>
      </c>
    </row>
    <row r="75" spans="1:19">
      <c r="A75">
        <v>2025</v>
      </c>
      <c r="B75" s="49">
        <f t="shared" si="6"/>
        <v>28.554847060091312</v>
      </c>
      <c r="C75" s="49">
        <f t="shared" si="6"/>
        <v>41.787100114622135</v>
      </c>
      <c r="D75" s="49">
        <f t="shared" si="6"/>
        <v>26.240022327530067</v>
      </c>
      <c r="E75" s="49">
        <f t="shared" si="6"/>
        <v>14.637084880799069</v>
      </c>
      <c r="F75" s="49">
        <f t="shared" si="6"/>
        <v>37.588012352502766</v>
      </c>
      <c r="G75" s="49">
        <f t="shared" si="6"/>
        <v>42.317265895201885</v>
      </c>
      <c r="H75" s="49">
        <f t="shared" si="6"/>
        <v>40.760268039598145</v>
      </c>
      <c r="I75" s="49">
        <f t="shared" si="6"/>
        <v>41.110211358981658</v>
      </c>
      <c r="J75" s="49">
        <f t="shared" si="6"/>
        <v>27.479079199390906</v>
      </c>
      <c r="K75" s="49">
        <f t="shared" si="6"/>
        <v>37.617289006900208</v>
      </c>
      <c r="L75" s="49">
        <f t="shared" si="6"/>
        <v>27.659917499635615</v>
      </c>
      <c r="M75" s="49">
        <f t="shared" si="6"/>
        <v>50.897823743615454</v>
      </c>
      <c r="P75">
        <v>46.425194455627015</v>
      </c>
    </row>
    <row r="76" spans="1:19">
      <c r="A76">
        <v>2026</v>
      </c>
      <c r="B76" s="49">
        <f t="shared" si="6"/>
        <v>28.167550705617515</v>
      </c>
      <c r="C76" s="49">
        <f t="shared" si="6"/>
        <v>40.701869652316738</v>
      </c>
      <c r="D76" s="49">
        <f t="shared" si="6"/>
        <v>26.061254886323042</v>
      </c>
      <c r="E76" s="49">
        <f t="shared" si="6"/>
        <v>14.497641836869755</v>
      </c>
      <c r="F76" s="49">
        <f t="shared" si="6"/>
        <v>36.61183415610828</v>
      </c>
      <c r="G76" s="49">
        <f t="shared" si="6"/>
        <v>41.218266780523408</v>
      </c>
      <c r="H76" s="49">
        <f t="shared" si="6"/>
        <v>39.701704884773562</v>
      </c>
      <c r="I76" s="49">
        <f t="shared" si="6"/>
        <v>40.718566912347768</v>
      </c>
      <c r="J76" s="49">
        <f t="shared" si="6"/>
        <v>27.217294391887037</v>
      </c>
      <c r="K76" s="49">
        <f t="shared" si="6"/>
        <v>36.64035048214842</v>
      </c>
      <c r="L76" s="49">
        <f t="shared" si="6"/>
        <v>27.328238192857643</v>
      </c>
      <c r="M76" s="49">
        <f t="shared" si="6"/>
        <v>50.595290426561533</v>
      </c>
      <c r="P76">
        <v>26.967439067167795</v>
      </c>
    </row>
    <row r="77" spans="1:19">
      <c r="A77">
        <v>2027</v>
      </c>
      <c r="B77" s="49">
        <f t="shared" si="6"/>
        <v>27.785507346051133</v>
      </c>
      <c r="C77" s="49">
        <f t="shared" si="6"/>
        <v>39.644823130822864</v>
      </c>
      <c r="D77" s="49">
        <f t="shared" si="6"/>
        <v>25.883705347968267</v>
      </c>
      <c r="E77" s="49">
        <f t="shared" si="6"/>
        <v>14.359527224295361</v>
      </c>
      <c r="F77" s="49">
        <f t="shared" si="6"/>
        <v>35.661007762362459</v>
      </c>
      <c r="G77" s="49">
        <f t="shared" si="6"/>
        <v>40.147809184974633</v>
      </c>
      <c r="H77" s="49">
        <f t="shared" si="6"/>
        <v>38.670633108358558</v>
      </c>
      <c r="I77" s="49">
        <f t="shared" si="6"/>
        <v>40.330653542920942</v>
      </c>
      <c r="J77" s="49">
        <f t="shared" si="6"/>
        <v>26.958003528410281</v>
      </c>
      <c r="K77" s="49">
        <f t="shared" si="6"/>
        <v>35.688783506127045</v>
      </c>
      <c r="L77" s="49">
        <f t="shared" si="6"/>
        <v>27.000536163399683</v>
      </c>
      <c r="M77" s="49">
        <f t="shared" si="6"/>
        <v>50.294555347648171</v>
      </c>
      <c r="P77">
        <v>15.208398766324766</v>
      </c>
    </row>
    <row r="78" spans="1:19">
      <c r="A78">
        <v>2028</v>
      </c>
      <c r="B78" s="49">
        <f t="shared" si="6"/>
        <v>27.408645733741167</v>
      </c>
      <c r="C78" s="49">
        <f t="shared" si="6"/>
        <v>38.615228600064228</v>
      </c>
      <c r="D78" s="49">
        <f t="shared" si="6"/>
        <v>25.707365415164237</v>
      </c>
      <c r="E78" s="49">
        <f t="shared" si="6"/>
        <v>14.222728387515485</v>
      </c>
      <c r="F78" s="49">
        <f t="shared" si="6"/>
        <v>34.734874773136845</v>
      </c>
      <c r="G78" s="49">
        <f t="shared" si="6"/>
        <v>39.105151872003709</v>
      </c>
      <c r="H78" s="49">
        <f t="shared" si="6"/>
        <v>37.666338746445142</v>
      </c>
      <c r="I78" s="49">
        <f t="shared" si="6"/>
        <v>39.946435705866456</v>
      </c>
      <c r="J78" s="49">
        <f t="shared" si="6"/>
        <v>26.701182849916439</v>
      </c>
      <c r="K78" s="49">
        <f t="shared" si="6"/>
        <v>34.761929167892674</v>
      </c>
      <c r="L78" s="49">
        <f t="shared" si="6"/>
        <v>26.676763718401325</v>
      </c>
      <c r="M78" s="49">
        <f t="shared" si="6"/>
        <v>49.99560781826613</v>
      </c>
      <c r="P78">
        <v>41.760035462590771</v>
      </c>
    </row>
    <row r="79" spans="1:19">
      <c r="A79">
        <v>2029</v>
      </c>
      <c r="B79" s="49">
        <f t="shared" si="6"/>
        <v>27.036895587385885</v>
      </c>
      <c r="C79" s="49">
        <f t="shared" si="6"/>
        <v>37.612373119049103</v>
      </c>
      <c r="D79" s="49">
        <f t="shared" si="6"/>
        <v>25.532226847137135</v>
      </c>
      <c r="E79" s="49">
        <f t="shared" si="6"/>
        <v>14.087232791535396</v>
      </c>
      <c r="F79" s="49">
        <f t="shared" si="6"/>
        <v>33.832793889209192</v>
      </c>
      <c r="G79" s="49">
        <f t="shared" si="6"/>
        <v>38.089572855317464</v>
      </c>
      <c r="H79" s="49">
        <f t="shared" si="6"/>
        <v>36.688126377100737</v>
      </c>
      <c r="I79" s="49">
        <f t="shared" si="6"/>
        <v>39.565878194974403</v>
      </c>
      <c r="J79" s="49">
        <f t="shared" si="6"/>
        <v>26.446808823706498</v>
      </c>
      <c r="K79" s="49">
        <f t="shared" si="6"/>
        <v>33.859145668726164</v>
      </c>
      <c r="L79" s="49">
        <f t="shared" si="6"/>
        <v>26.356873736903164</v>
      </c>
      <c r="M79" s="49">
        <f t="shared" si="6"/>
        <v>49.698437213338558</v>
      </c>
      <c r="P79">
        <v>47.014205164425192</v>
      </c>
    </row>
    <row r="80" spans="1:19">
      <c r="A80">
        <v>2030</v>
      </c>
      <c r="B80" s="49">
        <f t="shared" si="6"/>
        <v>26.670187578925979</v>
      </c>
      <c r="C80" s="49">
        <f t="shared" si="6"/>
        <v>36.635562262195563</v>
      </c>
      <c r="D80" s="49">
        <f t="shared" si="6"/>
        <v>25.358281459255689</v>
      </c>
      <c r="E80" s="49">
        <f t="shared" si="6"/>
        <v>13.953028020777428</v>
      </c>
      <c r="F80" s="49">
        <f t="shared" si="6"/>
        <v>32.954140466196911</v>
      </c>
      <c r="G80" s="49">
        <f t="shared" si="6"/>
        <v>37.100368898943216</v>
      </c>
      <c r="H80" s="49">
        <f t="shared" si="6"/>
        <v>35.735318638824403</v>
      </c>
      <c r="I80" s="49">
        <f t="shared" si="6"/>
        <v>39.188946139433668</v>
      </c>
      <c r="J80" s="49">
        <f t="shared" si="6"/>
        <v>26.19485814127027</v>
      </c>
      <c r="K80" s="49">
        <f t="shared" si="6"/>
        <v>32.979807877720191</v>
      </c>
      <c r="L80" s="49">
        <f t="shared" si="6"/>
        <v>26.040819662988962</v>
      </c>
      <c r="M80" s="49">
        <f t="shared" si="6"/>
        <v>49.403032970943343</v>
      </c>
      <c r="P80">
        <v>45.284390747652488</v>
      </c>
    </row>
    <row r="81" spans="1:16">
      <c r="A81">
        <v>2031</v>
      </c>
      <c r="B81" s="49">
        <f t="shared" si="6"/>
        <v>26.308453320615531</v>
      </c>
      <c r="C81" s="49">
        <f t="shared" si="6"/>
        <v>35.684119638477618</v>
      </c>
      <c r="D81" s="49">
        <f t="shared" si="6"/>
        <v>25.185521122648716</v>
      </c>
      <c r="E81" s="49">
        <f t="shared" si="6"/>
        <v>13.820101777943343</v>
      </c>
      <c r="F81" s="49">
        <f t="shared" si="6"/>
        <v>32.098306082023086</v>
      </c>
      <c r="G81" s="49">
        <f t="shared" si="6"/>
        <v>36.136855030274155</v>
      </c>
      <c r="H81" s="49">
        <f t="shared" si="6"/>
        <v>34.807255761509026</v>
      </c>
      <c r="I81" s="49">
        <f t="shared" si="6"/>
        <v>38.815605000636758</v>
      </c>
      <c r="J81" s="49">
        <f t="shared" si="6"/>
        <v>25.945307716150655</v>
      </c>
      <c r="K81" s="49">
        <f t="shared" si="6"/>
        <v>32.123306898908368</v>
      </c>
      <c r="L81" s="49">
        <f t="shared" si="6"/>
        <v>25.728555499010014</v>
      </c>
      <c r="M81" s="49">
        <f t="shared" si="6"/>
        <v>49.109384591937776</v>
      </c>
      <c r="P81">
        <v>42.71482284942212</v>
      </c>
    </row>
    <row r="82" spans="1:16">
      <c r="A82">
        <v>2032</v>
      </c>
      <c r="B82" s="49">
        <f t="shared" si="6"/>
        <v>25.951625352268294</v>
      </c>
      <c r="C82" s="49">
        <f t="shared" si="6"/>
        <v>34.757386423059415</v>
      </c>
      <c r="D82" s="49">
        <f t="shared" si="6"/>
        <v>25.013937763825208</v>
      </c>
      <c r="E82" s="49">
        <f t="shared" si="6"/>
        <v>13.688441882887508</v>
      </c>
      <c r="F82" s="49">
        <f t="shared" si="6"/>
        <v>31.264698115615648</v>
      </c>
      <c r="G82" s="49">
        <f t="shared" si="6"/>
        <v>35.198364065761282</v>
      </c>
      <c r="H82" s="49">
        <f t="shared" si="6"/>
        <v>33.903295109584604</v>
      </c>
      <c r="I82" s="49">
        <f t="shared" si="6"/>
        <v>38.445820569014934</v>
      </c>
      <c r="J82" s="49">
        <f t="shared" si="6"/>
        <v>25.698134681828176</v>
      </c>
      <c r="K82" s="49">
        <f t="shared" si="6"/>
        <v>31.289049649636315</v>
      </c>
      <c r="L82" s="49">
        <f t="shared" si="6"/>
        <v>25.420035798890783</v>
      </c>
      <c r="M82" s="49">
        <f t="shared" si="6"/>
        <v>48.817481639585331</v>
      </c>
      <c r="P82">
        <v>28.551641095145609</v>
      </c>
    </row>
    <row r="83" spans="1:16">
      <c r="A83">
        <v>2033</v>
      </c>
      <c r="B83" s="49">
        <f t="shared" si="6"/>
        <v>25.599637128676978</v>
      </c>
      <c r="C83" s="49">
        <f t="shared" si="6"/>
        <v>33.854720901093103</v>
      </c>
      <c r="D83" s="49">
        <f t="shared" si="6"/>
        <v>24.843523364297077</v>
      </c>
      <c r="E83" s="49">
        <f t="shared" si="6"/>
        <v>13.558036271500827</v>
      </c>
      <c r="F83" s="49">
        <f t="shared" si="6"/>
        <v>30.452739336547953</v>
      </c>
      <c r="G83" s="49">
        <f t="shared" si="6"/>
        <v>34.28424614892328</v>
      </c>
      <c r="H83" s="49">
        <f t="shared" si="6"/>
        <v>33.02281073702639</v>
      </c>
      <c r="I83" s="49">
        <f t="shared" si="6"/>
        <v>38.07955896090359</v>
      </c>
      <c r="J83" s="49">
        <f t="shared" si="6"/>
        <v>25.453316389625723</v>
      </c>
      <c r="K83" s="49">
        <f t="shared" si="6"/>
        <v>30.476458449882557</v>
      </c>
      <c r="L83" s="49">
        <f t="shared" si="6"/>
        <v>25.115215661514799</v>
      </c>
      <c r="M83" s="49">
        <f t="shared" si="6"/>
        <v>48.527313739184763</v>
      </c>
      <c r="P83">
        <v>41.792561633817854</v>
      </c>
    </row>
    <row r="84" spans="1:16">
      <c r="A84">
        <v>2034</v>
      </c>
      <c r="B84" s="49">
        <f t="shared" si="6"/>
        <v>25.252423007203166</v>
      </c>
      <c r="C84" s="49">
        <f t="shared" si="6"/>
        <v>32.975498023364445</v>
      </c>
      <c r="D84" s="49">
        <f t="shared" si="6"/>
        <v>24.674269960204406</v>
      </c>
      <c r="E84" s="49">
        <f t="shared" si="6"/>
        <v>13.428872994605291</v>
      </c>
      <c r="F84" s="49">
        <f t="shared" si="6"/>
        <v>29.661867505336499</v>
      </c>
      <c r="G84" s="49">
        <f t="shared" si="6"/>
        <v>33.393868300354434</v>
      </c>
      <c r="H84" s="49">
        <f t="shared" si="6"/>
        <v>32.165192953919522</v>
      </c>
      <c r="I84" s="49">
        <f t="shared" si="6"/>
        <v>37.716786615437471</v>
      </c>
      <c r="J84" s="49">
        <f t="shared" si="6"/>
        <v>25.210830406633217</v>
      </c>
      <c r="K84" s="49">
        <f t="shared" si="6"/>
        <v>29.684970622244958</v>
      </c>
      <c r="L84" s="49">
        <f t="shared" si="6"/>
        <v>24.814050724189869</v>
      </c>
      <c r="M84" s="49">
        <f t="shared" si="6"/>
        <v>48.238870577701391</v>
      </c>
      <c r="P84">
        <v>29.027381764759394</v>
      </c>
    </row>
    <row r="85" spans="1:16">
      <c r="A85">
        <v>2035</v>
      </c>
      <c r="B85" s="49">
        <f t="shared" si="6"/>
        <v>24.909918235535557</v>
      </c>
      <c r="C85" s="49">
        <f t="shared" si="6"/>
        <v>32.119108973478589</v>
      </c>
      <c r="D85" s="49">
        <f t="shared" si="6"/>
        <v>24.50616964194327</v>
      </c>
      <c r="E85" s="49">
        <f t="shared" si="6"/>
        <v>13.300940216859063</v>
      </c>
      <c r="F85" s="49">
        <f t="shared" si="6"/>
        <v>28.891534984119172</v>
      </c>
      <c r="G85" s="49">
        <f t="shared" si="6"/>
        <v>32.526613979419203</v>
      </c>
      <c r="H85" s="49">
        <f t="shared" si="6"/>
        <v>31.329847904280395</v>
      </c>
      <c r="I85" s="49">
        <f t="shared" si="6"/>
        <v>37.357470291475437</v>
      </c>
      <c r="J85" s="49">
        <f t="shared" si="6"/>
        <v>24.970654513652075</v>
      </c>
      <c r="K85" s="49">
        <f t="shared" si="6"/>
        <v>28.914038102315718</v>
      </c>
      <c r="L85" s="49">
        <f t="shared" si="6"/>
        <v>24.516497156191662</v>
      </c>
      <c r="M85" s="49">
        <f t="shared" si="6"/>
        <v>47.952141903400502</v>
      </c>
      <c r="P85">
        <v>52.126155410393018</v>
      </c>
    </row>
    <row r="86" spans="1:16">
      <c r="B86" s="62"/>
    </row>
  </sheetData>
  <phoneticPr fontId="2" type="noConversion"/>
  <hyperlinks>
    <hyperlink ref="F4" r:id="rId1" xr:uid="{F5D11335-7FB3-4944-B99E-0A73BF86A2D0}"/>
    <hyperlink ref="F5" r:id="rId2" xr:uid="{99B39B94-0817-8044-AFBB-77C9DB1089C9}"/>
    <hyperlink ref="F16" r:id="rId3" xr:uid="{B0A270C5-1294-3D49-8A2D-4A8ECFFB906F}"/>
    <hyperlink ref="F7" r:id="rId4" xr:uid="{8C9BFDA7-F9F7-C246-804C-9BB650AD7AF2}"/>
    <hyperlink ref="F18" r:id="rId5" xr:uid="{7F01BE4F-763F-DC4A-97FC-59D8D5BADA6E}"/>
  </hyperlinks>
  <pageMargins left="0.7" right="0.7" top="0.78740157499999996" bottom="0.78740157499999996" header="0.3" footer="0.3"/>
  <pageSetup paperSize="9" orientation="portrait" horizontalDpi="0" verticalDpi="0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E1C0-F54B-3F45-8B7E-5EC154B13308}">
  <dimension ref="A1:AA186"/>
  <sheetViews>
    <sheetView topLeftCell="A143" zoomScale="75" workbookViewId="0">
      <selection activeCell="D191" sqref="D191"/>
    </sheetView>
  </sheetViews>
  <sheetFormatPr baseColWidth="10" defaultRowHeight="16"/>
  <cols>
    <col min="1" max="1" width="33.6640625" customWidth="1"/>
    <col min="2" max="6" width="20.6640625" customWidth="1"/>
    <col min="7" max="7" width="31" bestFit="1" customWidth="1"/>
    <col min="8" max="10" width="20.6640625" customWidth="1"/>
    <col min="11" max="11" width="26.1640625" bestFit="1" customWidth="1"/>
    <col min="12" max="13" width="15.33203125" bestFit="1" customWidth="1"/>
  </cols>
  <sheetData>
    <row r="1" spans="1:12" ht="19">
      <c r="A1" s="17" t="s">
        <v>20</v>
      </c>
      <c r="B1" t="s">
        <v>70</v>
      </c>
      <c r="G1" t="s">
        <v>576</v>
      </c>
      <c r="H1" t="s">
        <v>577</v>
      </c>
    </row>
    <row r="2" spans="1:12">
      <c r="A2" s="2" t="s">
        <v>21</v>
      </c>
      <c r="B2" s="2"/>
      <c r="C2" s="2"/>
      <c r="D2" s="2"/>
    </row>
    <row r="3" spans="1:12">
      <c r="A3" t="s">
        <v>22</v>
      </c>
      <c r="B3" s="14"/>
      <c r="C3" s="14"/>
      <c r="D3" s="14"/>
      <c r="L3" s="14"/>
    </row>
    <row r="4" spans="1:12">
      <c r="A4" s="16" t="s">
        <v>23</v>
      </c>
      <c r="B4" s="15" t="s">
        <v>24</v>
      </c>
      <c r="C4" s="15" t="s">
        <v>25</v>
      </c>
      <c r="D4" s="15"/>
      <c r="E4" s="16" t="s">
        <v>26</v>
      </c>
      <c r="F4" s="16"/>
      <c r="G4" s="16"/>
      <c r="H4" s="16"/>
      <c r="I4" s="16" t="s">
        <v>27</v>
      </c>
      <c r="J4" s="16"/>
      <c r="K4" s="16" t="s">
        <v>28</v>
      </c>
      <c r="L4" s="14"/>
    </row>
    <row r="5" spans="1:12">
      <c r="A5" t="s">
        <v>29</v>
      </c>
      <c r="B5" s="14" t="s">
        <v>30</v>
      </c>
      <c r="C5" s="14">
        <v>32</v>
      </c>
      <c r="D5" s="14"/>
      <c r="E5" t="s">
        <v>31</v>
      </c>
      <c r="I5" t="s">
        <v>32</v>
      </c>
      <c r="L5" s="14"/>
    </row>
    <row r="6" spans="1:12">
      <c r="A6" t="s">
        <v>33</v>
      </c>
      <c r="B6" s="14" t="s">
        <v>34</v>
      </c>
      <c r="C6" s="14">
        <v>120</v>
      </c>
      <c r="D6" s="14"/>
      <c r="E6" t="s">
        <v>31</v>
      </c>
      <c r="I6" t="s">
        <v>35</v>
      </c>
      <c r="L6" s="14"/>
    </row>
    <row r="7" spans="1:12">
      <c r="A7" t="s">
        <v>36</v>
      </c>
      <c r="B7" s="14" t="s">
        <v>37</v>
      </c>
      <c r="C7" s="14">
        <v>35.200000000000003</v>
      </c>
      <c r="D7" s="14"/>
      <c r="E7" t="s">
        <v>31</v>
      </c>
      <c r="I7" t="s">
        <v>38</v>
      </c>
      <c r="K7" t="s">
        <v>39</v>
      </c>
      <c r="L7" s="14"/>
    </row>
    <row r="8" spans="1:12">
      <c r="A8" t="s">
        <v>40</v>
      </c>
      <c r="B8" s="14" t="s">
        <v>41</v>
      </c>
      <c r="C8" s="14">
        <v>16</v>
      </c>
      <c r="D8" s="14"/>
      <c r="E8" t="s">
        <v>31</v>
      </c>
      <c r="I8" t="s">
        <v>38</v>
      </c>
      <c r="K8" t="s">
        <v>42</v>
      </c>
      <c r="L8" s="14"/>
    </row>
    <row r="9" spans="1:12">
      <c r="A9" t="s">
        <v>43</v>
      </c>
      <c r="B9" s="14" t="s">
        <v>44</v>
      </c>
      <c r="C9" s="14">
        <v>1.6</v>
      </c>
      <c r="D9" s="14"/>
      <c r="E9" t="s">
        <v>31</v>
      </c>
      <c r="I9" t="s">
        <v>38</v>
      </c>
      <c r="L9" s="14"/>
    </row>
    <row r="10" spans="1:12">
      <c r="A10" t="s">
        <v>45</v>
      </c>
      <c r="B10" s="14" t="s">
        <v>46</v>
      </c>
      <c r="C10" s="14">
        <v>2.7</v>
      </c>
      <c r="D10" s="14"/>
      <c r="E10" t="s">
        <v>31</v>
      </c>
      <c r="I10" t="s">
        <v>38</v>
      </c>
      <c r="L10" s="14"/>
    </row>
    <row r="11" spans="1:12">
      <c r="A11" t="s">
        <v>47</v>
      </c>
      <c r="B11" s="14" t="s">
        <v>37</v>
      </c>
      <c r="C11" s="14">
        <v>1.4</v>
      </c>
      <c r="D11" s="14"/>
      <c r="E11" t="s">
        <v>31</v>
      </c>
      <c r="I11" t="s">
        <v>38</v>
      </c>
      <c r="L11" s="14"/>
    </row>
    <row r="12" spans="1:12">
      <c r="A12" t="s">
        <v>38</v>
      </c>
      <c r="B12" s="14" t="s">
        <v>48</v>
      </c>
      <c r="C12" s="14">
        <v>0.5</v>
      </c>
      <c r="D12" s="14"/>
      <c r="E12" t="s">
        <v>31</v>
      </c>
      <c r="I12" t="s">
        <v>38</v>
      </c>
      <c r="L12" s="14"/>
    </row>
    <row r="13" spans="1:12">
      <c r="A13" t="s">
        <v>49</v>
      </c>
      <c r="B13" s="14" t="s">
        <v>50</v>
      </c>
      <c r="C13" s="14">
        <v>4.9000000000000004</v>
      </c>
      <c r="D13" s="14"/>
      <c r="E13" t="s">
        <v>31</v>
      </c>
      <c r="I13" t="s">
        <v>38</v>
      </c>
      <c r="L13" s="14"/>
    </row>
    <row r="14" spans="1:12">
      <c r="A14" t="s">
        <v>38</v>
      </c>
      <c r="B14" s="14" t="s">
        <v>51</v>
      </c>
      <c r="C14" s="14" t="s">
        <v>52</v>
      </c>
      <c r="D14" s="14"/>
      <c r="L14" s="14"/>
    </row>
    <row r="15" spans="1:12">
      <c r="A15" t="s">
        <v>53</v>
      </c>
      <c r="B15" s="14" t="s">
        <v>54</v>
      </c>
      <c r="C15" s="14">
        <v>504</v>
      </c>
      <c r="D15" s="14"/>
      <c r="E15" t="s">
        <v>55</v>
      </c>
      <c r="I15" t="s">
        <v>56</v>
      </c>
      <c r="K15" t="s">
        <v>57</v>
      </c>
      <c r="L15" s="14"/>
    </row>
    <row r="16" spans="1:12">
      <c r="A16" t="s">
        <v>38</v>
      </c>
      <c r="B16" s="14" t="s">
        <v>58</v>
      </c>
      <c r="C16" s="14">
        <v>1400</v>
      </c>
      <c r="D16" s="14"/>
      <c r="E16" t="s">
        <v>55</v>
      </c>
      <c r="I16" t="s">
        <v>56</v>
      </c>
      <c r="L16" s="14"/>
    </row>
    <row r="17" spans="1:16">
      <c r="A17" t="s">
        <v>59</v>
      </c>
      <c r="B17" s="14"/>
      <c r="C17" s="14"/>
      <c r="D17" s="14"/>
      <c r="L17" s="14"/>
    </row>
    <row r="18" spans="1:16">
      <c r="A18" t="s">
        <v>60</v>
      </c>
      <c r="B18" s="14" t="s">
        <v>61</v>
      </c>
      <c r="C18" s="14" t="s">
        <v>25</v>
      </c>
      <c r="D18" s="14"/>
      <c r="E18" t="s">
        <v>26</v>
      </c>
      <c r="I18" t="s">
        <v>27</v>
      </c>
      <c r="L18" s="14"/>
    </row>
    <row r="19" spans="1:16">
      <c r="A19" t="s">
        <v>62</v>
      </c>
      <c r="B19" s="14" t="s">
        <v>63</v>
      </c>
      <c r="C19" s="14">
        <v>504</v>
      </c>
      <c r="D19" s="14"/>
      <c r="E19" t="s">
        <v>55</v>
      </c>
      <c r="I19" t="s">
        <v>32</v>
      </c>
      <c r="L19" s="14"/>
    </row>
    <row r="20" spans="1:16">
      <c r="A20" t="s">
        <v>38</v>
      </c>
      <c r="B20" s="14" t="s">
        <v>64</v>
      </c>
      <c r="C20" s="14">
        <v>1400</v>
      </c>
      <c r="D20" s="14"/>
      <c r="E20" t="s">
        <v>55</v>
      </c>
      <c r="I20" t="s">
        <v>35</v>
      </c>
      <c r="K20" t="s">
        <v>28</v>
      </c>
      <c r="L20" s="14"/>
    </row>
    <row r="21" spans="1:16">
      <c r="A21" t="s">
        <v>65</v>
      </c>
      <c r="B21" s="14"/>
      <c r="C21" s="14"/>
      <c r="D21" s="14"/>
      <c r="L21" s="14"/>
    </row>
    <row r="22" spans="1:16">
      <c r="A22" t="s">
        <v>66</v>
      </c>
      <c r="B22" s="14" t="s">
        <v>25</v>
      </c>
      <c r="C22" s="14" t="s">
        <v>26</v>
      </c>
      <c r="D22" s="14"/>
      <c r="E22" t="s">
        <v>27</v>
      </c>
      <c r="L22" s="14"/>
    </row>
    <row r="23" spans="1:16">
      <c r="A23" t="s">
        <v>67</v>
      </c>
      <c r="B23" s="14">
        <v>0.35699999999999998</v>
      </c>
      <c r="C23" s="14" t="s">
        <v>68</v>
      </c>
      <c r="D23" s="14"/>
      <c r="E23" t="s">
        <v>32</v>
      </c>
      <c r="L23" s="14"/>
    </row>
    <row r="24" spans="1:16">
      <c r="A24" t="s">
        <v>49</v>
      </c>
      <c r="B24" s="14">
        <v>0.29399999999999998</v>
      </c>
      <c r="C24" s="14" t="s">
        <v>69</v>
      </c>
      <c r="D24" s="14"/>
      <c r="E24" t="s">
        <v>35</v>
      </c>
      <c r="L24" s="14"/>
    </row>
    <row r="25" spans="1:16" ht="17" customHeight="1">
      <c r="A25" s="50" t="s">
        <v>581</v>
      </c>
      <c r="B25" s="14"/>
      <c r="C25" s="14"/>
      <c r="D25" s="14"/>
      <c r="L25" s="14"/>
    </row>
    <row r="26" spans="1:16" ht="17" customHeight="1">
      <c r="A26" t="s">
        <v>582</v>
      </c>
      <c r="B26" s="14"/>
      <c r="C26" s="14"/>
      <c r="D26" s="14"/>
      <c r="L26" s="14"/>
    </row>
    <row r="28" spans="1:16" ht="19">
      <c r="A28" s="17" t="s">
        <v>231</v>
      </c>
      <c r="B28" t="s">
        <v>103</v>
      </c>
      <c r="C28" t="s">
        <v>102</v>
      </c>
      <c r="E28" t="s">
        <v>104</v>
      </c>
      <c r="L28" t="s">
        <v>312</v>
      </c>
    </row>
    <row r="30" spans="1:16">
      <c r="A30" t="s">
        <v>139</v>
      </c>
      <c r="B30" t="s">
        <v>182</v>
      </c>
      <c r="C30" t="s">
        <v>141</v>
      </c>
      <c r="E30" t="s">
        <v>1</v>
      </c>
      <c r="G30" t="s">
        <v>142</v>
      </c>
      <c r="H30" t="s">
        <v>637</v>
      </c>
      <c r="J30" t="s">
        <v>309</v>
      </c>
      <c r="K30" t="s">
        <v>387</v>
      </c>
      <c r="L30" t="s">
        <v>3</v>
      </c>
      <c r="M30" t="s">
        <v>210</v>
      </c>
      <c r="N30" t="s">
        <v>399</v>
      </c>
    </row>
    <row r="31" spans="1:16">
      <c r="A31" t="s">
        <v>5</v>
      </c>
      <c r="B31">
        <v>50</v>
      </c>
      <c r="C31" t="s">
        <v>185</v>
      </c>
      <c r="E31">
        <v>2024</v>
      </c>
      <c r="G31" t="s">
        <v>186</v>
      </c>
      <c r="H31" s="53">
        <f>B31*10^6/8</f>
        <v>6250000</v>
      </c>
      <c r="I31" t="s">
        <v>719</v>
      </c>
      <c r="J31" t="s">
        <v>388</v>
      </c>
      <c r="K31">
        <f>B31*1.2</f>
        <v>60</v>
      </c>
      <c r="L31" t="s">
        <v>185</v>
      </c>
      <c r="N31">
        <f>60*0.84</f>
        <v>50.4</v>
      </c>
      <c r="O31" t="s">
        <v>400</v>
      </c>
      <c r="P31" t="s">
        <v>401</v>
      </c>
    </row>
    <row r="32" spans="1:16">
      <c r="A32" t="s">
        <v>183</v>
      </c>
      <c r="B32">
        <v>34</v>
      </c>
      <c r="C32" t="s">
        <v>185</v>
      </c>
      <c r="E32">
        <v>2024</v>
      </c>
      <c r="G32" t="s">
        <v>187</v>
      </c>
      <c r="H32" s="53">
        <f>B32*10^6/8</f>
        <v>4250000</v>
      </c>
      <c r="K32">
        <f t="shared" ref="K32:K39" si="0">B32*1.2</f>
        <v>40.799999999999997</v>
      </c>
      <c r="L32" t="s">
        <v>185</v>
      </c>
      <c r="N32">
        <f>175*0.84</f>
        <v>147</v>
      </c>
      <c r="O32" t="s">
        <v>400</v>
      </c>
      <c r="P32" t="s">
        <v>402</v>
      </c>
    </row>
    <row r="33" spans="1:16">
      <c r="A33" t="s">
        <v>184</v>
      </c>
      <c r="B33">
        <v>25</v>
      </c>
      <c r="C33" t="s">
        <v>185</v>
      </c>
      <c r="E33">
        <v>2024</v>
      </c>
      <c r="G33" t="s">
        <v>188</v>
      </c>
      <c r="H33" s="53">
        <f>B33*10^6/8</f>
        <v>3125000</v>
      </c>
      <c r="K33">
        <f t="shared" si="0"/>
        <v>30</v>
      </c>
      <c r="L33" t="s">
        <v>185</v>
      </c>
      <c r="N33">
        <f>170*0.84</f>
        <v>142.79999999999998</v>
      </c>
      <c r="O33" t="s">
        <v>400</v>
      </c>
      <c r="P33" t="s">
        <v>403</v>
      </c>
    </row>
    <row r="34" spans="1:16">
      <c r="A34" t="s">
        <v>634</v>
      </c>
      <c r="B34">
        <v>16</v>
      </c>
      <c r="C34" t="s">
        <v>185</v>
      </c>
      <c r="E34">
        <v>2024</v>
      </c>
      <c r="G34" t="s">
        <v>189</v>
      </c>
      <c r="H34" s="53">
        <f t="shared" ref="H34:H44" si="1">B34*10^6/8</f>
        <v>2000000</v>
      </c>
      <c r="K34">
        <f t="shared" si="0"/>
        <v>19.2</v>
      </c>
      <c r="L34" t="s">
        <v>185</v>
      </c>
    </row>
    <row r="35" spans="1:16" ht="17" customHeight="1">
      <c r="A35" t="s">
        <v>303</v>
      </c>
      <c r="B35" s="48">
        <f>B34*Demand!I38/SUM(Demand!I38:J38)</f>
        <v>9.1382104815628686</v>
      </c>
      <c r="C35" t="s">
        <v>185</v>
      </c>
      <c r="G35" t="s">
        <v>636</v>
      </c>
      <c r="H35" s="53">
        <f t="shared" si="1"/>
        <v>1142276.3101953585</v>
      </c>
    </row>
    <row r="36" spans="1:16">
      <c r="A36" t="s">
        <v>635</v>
      </c>
      <c r="B36" s="48">
        <f>B34-B35</f>
        <v>6.8617895184371314</v>
      </c>
      <c r="C36" t="s">
        <v>185</v>
      </c>
      <c r="G36" t="s">
        <v>636</v>
      </c>
      <c r="H36" s="53">
        <f t="shared" si="1"/>
        <v>857723.68980464141</v>
      </c>
    </row>
    <row r="37" spans="1:16" ht="17" customHeight="1">
      <c r="A37" t="s">
        <v>449</v>
      </c>
      <c r="B37">
        <v>14</v>
      </c>
      <c r="C37" t="s">
        <v>185</v>
      </c>
      <c r="E37">
        <v>2024</v>
      </c>
      <c r="G37" t="s">
        <v>190</v>
      </c>
      <c r="H37" s="53">
        <f t="shared" si="1"/>
        <v>1750000</v>
      </c>
      <c r="K37">
        <f t="shared" si="0"/>
        <v>16.8</v>
      </c>
      <c r="L37" t="s">
        <v>185</v>
      </c>
    </row>
    <row r="38" spans="1:16" ht="17" customHeight="1">
      <c r="A38" t="s">
        <v>645</v>
      </c>
      <c r="B38">
        <f>14-B45</f>
        <v>14</v>
      </c>
      <c r="H38" s="53">
        <f>H37-H45</f>
        <v>1486000</v>
      </c>
    </row>
    <row r="39" spans="1:16" ht="17" customHeight="1">
      <c r="A39" t="s">
        <v>19</v>
      </c>
      <c r="B39">
        <v>0</v>
      </c>
      <c r="C39" t="s">
        <v>185</v>
      </c>
      <c r="E39">
        <v>2024</v>
      </c>
      <c r="G39" t="s">
        <v>631</v>
      </c>
      <c r="H39" s="53">
        <f>B39*10^6/8</f>
        <v>0</v>
      </c>
      <c r="K39">
        <f t="shared" si="0"/>
        <v>0</v>
      </c>
      <c r="L39" t="s">
        <v>185</v>
      </c>
    </row>
    <row r="40" spans="1:16" ht="17" customHeight="1">
      <c r="A40" t="s">
        <v>110</v>
      </c>
      <c r="B40">
        <f>0.17*B33</f>
        <v>4.25</v>
      </c>
      <c r="C40" t="s">
        <v>185</v>
      </c>
      <c r="H40" s="53">
        <f t="shared" si="1"/>
        <v>531250</v>
      </c>
    </row>
    <row r="41" spans="1:16" ht="20" customHeight="1">
      <c r="A41" t="s">
        <v>368</v>
      </c>
      <c r="B41">
        <f>0.06*B33</f>
        <v>1.5</v>
      </c>
      <c r="C41" t="s">
        <v>185</v>
      </c>
      <c r="H41" s="53">
        <f t="shared" si="1"/>
        <v>187500</v>
      </c>
    </row>
    <row r="42" spans="1:16" ht="18" customHeight="1">
      <c r="A42" t="s">
        <v>177</v>
      </c>
      <c r="B42">
        <f>0.16*B33</f>
        <v>4</v>
      </c>
      <c r="C42" t="s">
        <v>185</v>
      </c>
      <c r="H42" s="53">
        <f t="shared" si="1"/>
        <v>500000</v>
      </c>
    </row>
    <row r="43" spans="1:16" ht="17" customHeight="1">
      <c r="A43" t="s">
        <v>632</v>
      </c>
      <c r="B43">
        <f>B33*0.05</f>
        <v>1.25</v>
      </c>
      <c r="C43" t="s">
        <v>185</v>
      </c>
      <c r="H43" s="53">
        <f t="shared" si="1"/>
        <v>156250</v>
      </c>
    </row>
    <row r="44" spans="1:16" ht="16" customHeight="1">
      <c r="A44" t="s">
        <v>633</v>
      </c>
      <c r="B44">
        <f>B33-SUM(B40:B43)</f>
        <v>14</v>
      </c>
      <c r="C44" t="s">
        <v>185</v>
      </c>
      <c r="H44" s="53">
        <f t="shared" si="1"/>
        <v>1750000</v>
      </c>
    </row>
    <row r="45" spans="1:16" ht="17" customHeight="1">
      <c r="A45" t="s">
        <v>105</v>
      </c>
      <c r="H45" s="54">
        <f>Demand!B38*0.2</f>
        <v>264000</v>
      </c>
      <c r="I45" t="s">
        <v>646</v>
      </c>
    </row>
    <row r="47" spans="1:16">
      <c r="A47" s="1" t="s">
        <v>139</v>
      </c>
      <c r="B47" s="1" t="s">
        <v>779</v>
      </c>
      <c r="C47" s="1" t="s">
        <v>26</v>
      </c>
      <c r="D47" s="1"/>
      <c r="E47" s="1" t="s">
        <v>1</v>
      </c>
      <c r="F47" s="1" t="s">
        <v>129</v>
      </c>
      <c r="G47" s="1"/>
      <c r="H47" s="1"/>
      <c r="J47" s="1"/>
      <c r="K47" t="s">
        <v>578</v>
      </c>
    </row>
    <row r="48" spans="1:16">
      <c r="A48" t="s">
        <v>213</v>
      </c>
      <c r="B48" t="s">
        <v>215</v>
      </c>
      <c r="C48" s="13" t="s">
        <v>217</v>
      </c>
      <c r="D48" s="13"/>
      <c r="E48">
        <v>2023</v>
      </c>
      <c r="F48" t="s">
        <v>218</v>
      </c>
      <c r="K48" t="s">
        <v>579</v>
      </c>
      <c r="M48" t="s">
        <v>221</v>
      </c>
    </row>
    <row r="49" spans="1:17">
      <c r="A49" t="s">
        <v>214</v>
      </c>
      <c r="B49" t="s">
        <v>215</v>
      </c>
      <c r="C49" s="13" t="s">
        <v>217</v>
      </c>
      <c r="D49" s="13"/>
      <c r="E49">
        <v>2023</v>
      </c>
      <c r="F49" t="s">
        <v>219</v>
      </c>
    </row>
    <row r="50" spans="1:17">
      <c r="A50" t="s">
        <v>5</v>
      </c>
      <c r="B50" t="s">
        <v>216</v>
      </c>
      <c r="C50" s="13" t="s">
        <v>217</v>
      </c>
      <c r="D50" s="13"/>
      <c r="E50">
        <v>2023</v>
      </c>
      <c r="F50" t="s">
        <v>220</v>
      </c>
    </row>
    <row r="52" spans="1:17">
      <c r="A52" t="s">
        <v>557</v>
      </c>
      <c r="B52" s="26">
        <v>0.1</v>
      </c>
      <c r="C52" t="s">
        <v>558</v>
      </c>
    </row>
    <row r="54" spans="1:17" ht="19">
      <c r="A54" s="17" t="s">
        <v>229</v>
      </c>
    </row>
    <row r="55" spans="1:17">
      <c r="A55" s="21" t="s">
        <v>139</v>
      </c>
      <c r="B55" s="16" t="s">
        <v>227</v>
      </c>
      <c r="C55" s="20" t="s">
        <v>287</v>
      </c>
      <c r="D55" s="20" t="s">
        <v>698</v>
      </c>
      <c r="E55" s="20" t="s">
        <v>228</v>
      </c>
      <c r="F55" s="20"/>
      <c r="G55" s="20" t="s">
        <v>697</v>
      </c>
      <c r="H55" s="20"/>
      <c r="I55" s="1" t="s">
        <v>129</v>
      </c>
      <c r="J55" s="1"/>
      <c r="K55" s="1" t="s">
        <v>278</v>
      </c>
      <c r="L55" s="1" t="s">
        <v>141</v>
      </c>
      <c r="M55" s="1" t="s">
        <v>1</v>
      </c>
      <c r="N55" s="1" t="s">
        <v>129</v>
      </c>
      <c r="O55" s="1" t="s">
        <v>297</v>
      </c>
      <c r="P55" s="1" t="s">
        <v>3</v>
      </c>
      <c r="Q55" s="1" t="s">
        <v>129</v>
      </c>
    </row>
    <row r="56" spans="1:17">
      <c r="A56" t="s">
        <v>222</v>
      </c>
      <c r="B56">
        <v>199.3</v>
      </c>
      <c r="C56">
        <v>318</v>
      </c>
      <c r="D56">
        <f>C56*'cost estimate'!$B$31</f>
        <v>2544</v>
      </c>
      <c r="E56">
        <v>0.62</v>
      </c>
      <c r="G56">
        <f>E56*'cost estimate'!$B$31/1000*10^6</f>
        <v>4960</v>
      </c>
      <c r="I56" t="s">
        <v>230</v>
      </c>
      <c r="N56" t="s">
        <v>230</v>
      </c>
    </row>
    <row r="57" spans="1:17">
      <c r="A57" t="s">
        <v>223</v>
      </c>
      <c r="B57">
        <v>180</v>
      </c>
      <c r="C57">
        <v>105</v>
      </c>
      <c r="D57">
        <f>C57*'cost estimate'!$B$31</f>
        <v>840</v>
      </c>
      <c r="E57">
        <v>1.7</v>
      </c>
      <c r="G57">
        <f>E57*'cost estimate'!$B$31/1000*10^6</f>
        <v>13600</v>
      </c>
      <c r="I57" t="s">
        <v>230</v>
      </c>
      <c r="N57" t="s">
        <v>288</v>
      </c>
    </row>
    <row r="58" spans="1:17">
      <c r="A58" t="s">
        <v>177</v>
      </c>
      <c r="B58">
        <v>130</v>
      </c>
      <c r="C58">
        <v>153</v>
      </c>
      <c r="D58">
        <f>C58*'cost estimate'!$B$31</f>
        <v>1224</v>
      </c>
      <c r="E58">
        <v>0.84</v>
      </c>
      <c r="G58">
        <f>E58*'cost estimate'!$B$31/1000*10^6</f>
        <v>6719.9999999999991</v>
      </c>
      <c r="I58" t="s">
        <v>230</v>
      </c>
      <c r="N58" t="s">
        <v>289</v>
      </c>
    </row>
    <row r="59" spans="1:17">
      <c r="A59" t="s">
        <v>224</v>
      </c>
      <c r="B59">
        <v>70</v>
      </c>
      <c r="C59">
        <v>53</v>
      </c>
      <c r="D59">
        <f>C59*'cost estimate'!$B$31</f>
        <v>424</v>
      </c>
      <c r="E59">
        <v>1.3</v>
      </c>
      <c r="G59">
        <f>E59*'cost estimate'!$B$31/1000*10^6</f>
        <v>10400</v>
      </c>
      <c r="I59" t="s">
        <v>230</v>
      </c>
      <c r="N59" t="s">
        <v>290</v>
      </c>
    </row>
    <row r="60" spans="1:17">
      <c r="A60" t="s">
        <v>119</v>
      </c>
      <c r="B60">
        <v>70</v>
      </c>
      <c r="C60">
        <v>53</v>
      </c>
      <c r="D60">
        <f>C60*'cost estimate'!$B$31</f>
        <v>424</v>
      </c>
      <c r="E60">
        <v>1.3</v>
      </c>
      <c r="G60">
        <f>E60*'cost estimate'!$B$31/1000*10^6</f>
        <v>10400</v>
      </c>
      <c r="I60" t="s">
        <v>230</v>
      </c>
      <c r="N60" t="s">
        <v>291</v>
      </c>
    </row>
    <row r="61" spans="1:17">
      <c r="A61" t="s">
        <v>149</v>
      </c>
      <c r="B61">
        <v>300</v>
      </c>
      <c r="C61">
        <v>220</v>
      </c>
      <c r="D61">
        <f>C61*'cost estimate'!$B$31</f>
        <v>1760</v>
      </c>
      <c r="E61">
        <v>1.4</v>
      </c>
      <c r="G61">
        <f>E61*'cost estimate'!$B$31/1000*10^6</f>
        <v>11200</v>
      </c>
      <c r="I61" t="s">
        <v>230</v>
      </c>
      <c r="N61" t="s">
        <v>292</v>
      </c>
    </row>
    <row r="62" spans="1:17">
      <c r="A62" t="s">
        <v>110</v>
      </c>
      <c r="B62">
        <v>600</v>
      </c>
      <c r="C62">
        <v>240</v>
      </c>
      <c r="D62">
        <f>C62*'cost estimate'!$B$31</f>
        <v>1920</v>
      </c>
      <c r="E62">
        <v>2.5</v>
      </c>
      <c r="G62">
        <f>E62*'cost estimate'!$B$31/1000*10^6</f>
        <v>20000</v>
      </c>
      <c r="I62" t="s">
        <v>230</v>
      </c>
      <c r="K62" s="25">
        <v>884</v>
      </c>
      <c r="L62" t="s">
        <v>285</v>
      </c>
      <c r="M62">
        <v>2022</v>
      </c>
      <c r="N62" t="s">
        <v>293</v>
      </c>
      <c r="O62" t="s">
        <v>298</v>
      </c>
      <c r="P62" t="s">
        <v>301</v>
      </c>
      <c r="Q62" t="s">
        <v>299</v>
      </c>
    </row>
    <row r="63" spans="1:17">
      <c r="A63" t="s">
        <v>225</v>
      </c>
      <c r="B63">
        <v>12</v>
      </c>
      <c r="C63">
        <v>150</v>
      </c>
      <c r="D63">
        <f>C63*'cost estimate'!$B$31</f>
        <v>1200</v>
      </c>
      <c r="E63">
        <v>0.1</v>
      </c>
      <c r="G63">
        <f>E63*'cost estimate'!$B$31/1000*10^6</f>
        <v>800</v>
      </c>
      <c r="I63" t="s">
        <v>230</v>
      </c>
      <c r="L63" t="s">
        <v>285</v>
      </c>
      <c r="M63">
        <v>2022</v>
      </c>
      <c r="N63" t="s">
        <v>294</v>
      </c>
    </row>
    <row r="64" spans="1:17">
      <c r="A64" t="s">
        <v>226</v>
      </c>
      <c r="B64">
        <v>145</v>
      </c>
      <c r="C64">
        <v>500</v>
      </c>
      <c r="D64">
        <f>C64*'cost estimate'!$B$31</f>
        <v>4000</v>
      </c>
      <c r="E64">
        <v>0.3</v>
      </c>
      <c r="G64">
        <f>E64*'cost estimate'!$B$31/1000*10^6</f>
        <v>2400</v>
      </c>
      <c r="I64" t="s">
        <v>230</v>
      </c>
      <c r="L64" t="s">
        <v>285</v>
      </c>
      <c r="N64" t="s">
        <v>295</v>
      </c>
    </row>
    <row r="65" spans="1:17">
      <c r="A65" t="s">
        <v>286</v>
      </c>
      <c r="K65">
        <v>931</v>
      </c>
      <c r="L65" t="s">
        <v>285</v>
      </c>
      <c r="M65">
        <v>2022</v>
      </c>
      <c r="N65" t="s">
        <v>296</v>
      </c>
    </row>
    <row r="66" spans="1:17">
      <c r="A66" t="s">
        <v>191</v>
      </c>
      <c r="K66">
        <v>178.6</v>
      </c>
      <c r="L66" t="s">
        <v>285</v>
      </c>
      <c r="M66">
        <v>2022</v>
      </c>
      <c r="N66" t="s">
        <v>302</v>
      </c>
      <c r="O66" t="s">
        <v>300</v>
      </c>
      <c r="P66" t="s">
        <v>301</v>
      </c>
      <c r="Q66" t="s">
        <v>302</v>
      </c>
    </row>
    <row r="67" spans="1:17">
      <c r="A67" t="s">
        <v>448</v>
      </c>
      <c r="D67">
        <f>SUM(D56:D66)-SUM(D58,D66,D64,D62)</f>
        <v>7192</v>
      </c>
    </row>
    <row r="68" spans="1:17">
      <c r="A68" t="s">
        <v>5</v>
      </c>
      <c r="B68">
        <v>45</v>
      </c>
      <c r="C68" t="s">
        <v>384</v>
      </c>
      <c r="I68" s="38" t="s">
        <v>699</v>
      </c>
    </row>
    <row r="69" spans="1:17">
      <c r="A69" s="19" t="s">
        <v>184</v>
      </c>
      <c r="C69" t="s">
        <v>406</v>
      </c>
      <c r="I69" t="s">
        <v>407</v>
      </c>
    </row>
    <row r="70" spans="1:17">
      <c r="A70" s="19" t="s">
        <v>771</v>
      </c>
      <c r="B70">
        <f>169*0.84</f>
        <v>141.96</v>
      </c>
      <c r="I70" t="s">
        <v>772</v>
      </c>
    </row>
    <row r="71" spans="1:17" ht="17" customHeight="1">
      <c r="A71" s="19"/>
    </row>
    <row r="72" spans="1:17">
      <c r="A72" s="42" t="s">
        <v>415</v>
      </c>
      <c r="B72" s="16" t="s">
        <v>404</v>
      </c>
      <c r="C72" s="16" t="s">
        <v>405</v>
      </c>
      <c r="D72" s="16" t="s">
        <v>773</v>
      </c>
      <c r="E72" s="16" t="s">
        <v>3</v>
      </c>
      <c r="F72" s="16"/>
      <c r="G72" s="16" t="s">
        <v>424</v>
      </c>
      <c r="H72" s="16"/>
      <c r="I72" s="16" t="s">
        <v>416</v>
      </c>
      <c r="J72" s="16" t="s">
        <v>417</v>
      </c>
      <c r="K72" s="16" t="s">
        <v>418</v>
      </c>
    </row>
    <row r="73" spans="1:17">
      <c r="A73" s="19" t="s">
        <v>184</v>
      </c>
      <c r="B73">
        <v>6.4</v>
      </c>
      <c r="C73">
        <v>29</v>
      </c>
      <c r="D73">
        <f>SUM(B73:C73)</f>
        <v>35.4</v>
      </c>
      <c r="E73" t="s">
        <v>400</v>
      </c>
      <c r="G73">
        <v>27.6</v>
      </c>
      <c r="H73" t="s">
        <v>419</v>
      </c>
      <c r="I73" s="38" t="s">
        <v>412</v>
      </c>
      <c r="J73" s="38" t="s">
        <v>420</v>
      </c>
      <c r="K73" t="s">
        <v>412</v>
      </c>
    </row>
    <row r="74" spans="1:17">
      <c r="A74" s="19" t="s">
        <v>330</v>
      </c>
      <c r="B74">
        <v>4.5999999999999996</v>
      </c>
      <c r="C74">
        <v>29</v>
      </c>
      <c r="D74">
        <f t="shared" ref="D74:D83" si="2">SUM(B74:C74)</f>
        <v>33.6</v>
      </c>
      <c r="E74" t="s">
        <v>400</v>
      </c>
      <c r="G74">
        <f>G75/3</f>
        <v>13.299999999999999</v>
      </c>
      <c r="H74" t="s">
        <v>419</v>
      </c>
      <c r="I74" t="s">
        <v>412</v>
      </c>
      <c r="J74" t="s">
        <v>412</v>
      </c>
      <c r="K74" t="s">
        <v>412</v>
      </c>
    </row>
    <row r="75" spans="1:17">
      <c r="A75" s="19" t="s">
        <v>214</v>
      </c>
      <c r="B75">
        <v>2.7</v>
      </c>
      <c r="C75">
        <v>29</v>
      </c>
      <c r="D75">
        <f t="shared" si="2"/>
        <v>31.7</v>
      </c>
      <c r="E75" t="s">
        <v>400</v>
      </c>
      <c r="G75">
        <v>39.9</v>
      </c>
      <c r="H75" t="s">
        <v>419</v>
      </c>
      <c r="I75" t="s">
        <v>412</v>
      </c>
      <c r="J75" t="s">
        <v>420</v>
      </c>
      <c r="K75" t="s">
        <v>412</v>
      </c>
    </row>
    <row r="76" spans="1:17">
      <c r="A76" s="19" t="s">
        <v>197</v>
      </c>
      <c r="B76">
        <v>6.4</v>
      </c>
      <c r="C76">
        <v>29</v>
      </c>
      <c r="D76">
        <f t="shared" si="2"/>
        <v>35.4</v>
      </c>
      <c r="E76" t="s">
        <v>400</v>
      </c>
      <c r="G76">
        <v>43.18</v>
      </c>
      <c r="H76" t="s">
        <v>419</v>
      </c>
      <c r="J76" t="s">
        <v>420</v>
      </c>
      <c r="K76" t="s">
        <v>412</v>
      </c>
    </row>
    <row r="77" spans="1:17">
      <c r="A77" s="19" t="s">
        <v>421</v>
      </c>
      <c r="B77">
        <v>6.4</v>
      </c>
      <c r="C77">
        <v>29</v>
      </c>
      <c r="D77">
        <f t="shared" si="2"/>
        <v>35.4</v>
      </c>
      <c r="E77" t="s">
        <v>400</v>
      </c>
      <c r="G77">
        <v>10.71</v>
      </c>
      <c r="H77" t="s">
        <v>419</v>
      </c>
      <c r="J77" t="s">
        <v>420</v>
      </c>
      <c r="K77" t="s">
        <v>412</v>
      </c>
    </row>
    <row r="78" spans="1:17">
      <c r="A78" s="19" t="s">
        <v>191</v>
      </c>
      <c r="B78">
        <v>6.4</v>
      </c>
      <c r="C78">
        <v>29</v>
      </c>
      <c r="D78">
        <f t="shared" si="2"/>
        <v>35.4</v>
      </c>
      <c r="E78" t="s">
        <v>400</v>
      </c>
      <c r="G78">
        <v>39.54</v>
      </c>
      <c r="H78" t="s">
        <v>419</v>
      </c>
      <c r="J78" t="s">
        <v>420</v>
      </c>
      <c r="K78" t="s">
        <v>412</v>
      </c>
    </row>
    <row r="79" spans="1:17">
      <c r="A79" s="19" t="s">
        <v>198</v>
      </c>
      <c r="B79">
        <v>6.4</v>
      </c>
      <c r="C79">
        <v>29</v>
      </c>
      <c r="D79">
        <f t="shared" si="2"/>
        <v>35.4</v>
      </c>
      <c r="E79" t="s">
        <v>400</v>
      </c>
      <c r="G79">
        <v>32.49</v>
      </c>
      <c r="H79" t="s">
        <v>419</v>
      </c>
      <c r="J79" t="s">
        <v>420</v>
      </c>
      <c r="K79" t="s">
        <v>412</v>
      </c>
    </row>
    <row r="80" spans="1:17">
      <c r="A80" s="19" t="s">
        <v>422</v>
      </c>
      <c r="B80" s="49">
        <f>AVERAGE($B$73:$B$75)</f>
        <v>4.5666666666666664</v>
      </c>
      <c r="C80">
        <v>29</v>
      </c>
      <c r="D80">
        <f t="shared" si="2"/>
        <v>33.566666666666663</v>
      </c>
      <c r="E80" t="s">
        <v>400</v>
      </c>
      <c r="G80">
        <v>38.19</v>
      </c>
      <c r="H80" t="s">
        <v>419</v>
      </c>
      <c r="J80" t="s">
        <v>420</v>
      </c>
      <c r="K80" t="s">
        <v>412</v>
      </c>
    </row>
    <row r="81" spans="1:15">
      <c r="A81" s="19" t="s">
        <v>423</v>
      </c>
      <c r="B81" s="49">
        <f t="shared" ref="B81:B83" si="3">AVERAGE($B$73:$B$75)</f>
        <v>4.5666666666666664</v>
      </c>
      <c r="C81">
        <v>29</v>
      </c>
      <c r="D81">
        <f t="shared" si="2"/>
        <v>33.566666666666663</v>
      </c>
      <c r="E81" t="s">
        <v>400</v>
      </c>
      <c r="G81">
        <v>22.98</v>
      </c>
      <c r="H81" t="s">
        <v>419</v>
      </c>
      <c r="J81" t="s">
        <v>420</v>
      </c>
      <c r="K81" t="s">
        <v>412</v>
      </c>
    </row>
    <row r="82" spans="1:15">
      <c r="A82" s="19" t="s">
        <v>303</v>
      </c>
      <c r="B82" s="49">
        <f t="shared" si="3"/>
        <v>4.5666666666666664</v>
      </c>
      <c r="C82">
        <v>29</v>
      </c>
      <c r="D82">
        <f t="shared" si="2"/>
        <v>33.566666666666663</v>
      </c>
      <c r="E82" t="s">
        <v>400</v>
      </c>
      <c r="G82">
        <v>26.46</v>
      </c>
      <c r="H82" t="s">
        <v>419</v>
      </c>
      <c r="J82" t="s">
        <v>420</v>
      </c>
      <c r="K82" t="s">
        <v>412</v>
      </c>
    </row>
    <row r="83" spans="1:15">
      <c r="A83" s="19" t="s">
        <v>108</v>
      </c>
      <c r="B83" s="49">
        <f t="shared" si="3"/>
        <v>4.5666666666666664</v>
      </c>
      <c r="C83">
        <v>29</v>
      </c>
      <c r="D83">
        <f t="shared" si="2"/>
        <v>33.566666666666663</v>
      </c>
      <c r="E83" t="s">
        <v>400</v>
      </c>
      <c r="G83">
        <v>7.98</v>
      </c>
      <c r="H83" t="s">
        <v>419</v>
      </c>
      <c r="J83" t="s">
        <v>420</v>
      </c>
      <c r="K83" t="s">
        <v>412</v>
      </c>
    </row>
    <row r="85" spans="1:15">
      <c r="A85" s="15" t="s">
        <v>516</v>
      </c>
      <c r="G85" t="s">
        <v>514</v>
      </c>
      <c r="H85" s="42" t="s">
        <v>415</v>
      </c>
      <c r="J85" t="s">
        <v>774</v>
      </c>
      <c r="K85" s="1" t="s">
        <v>775</v>
      </c>
      <c r="L85" t="s">
        <v>785</v>
      </c>
      <c r="M85" s="1" t="s">
        <v>776</v>
      </c>
      <c r="N85" t="s">
        <v>786</v>
      </c>
    </row>
    <row r="86" spans="1:15">
      <c r="A86" s="14" t="s">
        <v>37</v>
      </c>
      <c r="B86">
        <v>16.7</v>
      </c>
      <c r="C86" t="s">
        <v>509</v>
      </c>
      <c r="D86" t="s">
        <v>510</v>
      </c>
      <c r="G86" t="s">
        <v>515</v>
      </c>
      <c r="H86" s="19" t="s">
        <v>184</v>
      </c>
      <c r="I86">
        <v>27.6</v>
      </c>
      <c r="J86">
        <f>I86/$I$97</f>
        <v>1.0042007078358086</v>
      </c>
      <c r="K86">
        <f>D73/0.8</f>
        <v>44.249999999999993</v>
      </c>
      <c r="L86">
        <f>K86-D73</f>
        <v>8.8499999999999943</v>
      </c>
      <c r="M86">
        <f>L86*J86</f>
        <v>8.8871762643469001</v>
      </c>
      <c r="N86">
        <f>M86+D73</f>
        <v>44.287176264346897</v>
      </c>
      <c r="O86" t="s">
        <v>778</v>
      </c>
    </row>
    <row r="87" spans="1:15">
      <c r="A87" s="14" t="s">
        <v>442</v>
      </c>
      <c r="B87">
        <v>6.8</v>
      </c>
      <c r="C87" t="s">
        <v>509</v>
      </c>
      <c r="D87" t="s">
        <v>510</v>
      </c>
      <c r="G87" t="s">
        <v>515</v>
      </c>
      <c r="H87" s="19" t="s">
        <v>330</v>
      </c>
      <c r="I87">
        <f>I88/3</f>
        <v>13.299999999999999</v>
      </c>
      <c r="J87">
        <f t="shared" ref="J87:J97" si="4">I87/$I$97</f>
        <v>0.48390831210928453</v>
      </c>
      <c r="K87">
        <f t="shared" ref="K87:K96" si="5">D74/0.8</f>
        <v>42</v>
      </c>
      <c r="L87">
        <f t="shared" ref="L87:L96" si="6">K87-D74</f>
        <v>8.3999999999999986</v>
      </c>
      <c r="M87">
        <f t="shared" ref="M87:M95" si="7">L87*J87</f>
        <v>4.0648298217179892</v>
      </c>
      <c r="N87">
        <f t="shared" ref="N87:N95" si="8">M87+D74</f>
        <v>37.664829821717987</v>
      </c>
      <c r="O87" t="s">
        <v>778</v>
      </c>
    </row>
    <row r="88" spans="1:15">
      <c r="A88" s="14" t="s">
        <v>508</v>
      </c>
      <c r="B88">
        <v>4.0999999999999996</v>
      </c>
      <c r="C88" t="s">
        <v>509</v>
      </c>
      <c r="D88" t="s">
        <v>510</v>
      </c>
      <c r="G88" t="s">
        <v>515</v>
      </c>
      <c r="H88" s="19" t="s">
        <v>214</v>
      </c>
      <c r="I88">
        <v>39.9</v>
      </c>
      <c r="J88">
        <f t="shared" si="4"/>
        <v>1.4517249363278537</v>
      </c>
      <c r="K88">
        <f t="shared" si="5"/>
        <v>39.625</v>
      </c>
      <c r="L88">
        <f t="shared" si="6"/>
        <v>7.9250000000000007</v>
      </c>
      <c r="M88">
        <f t="shared" si="7"/>
        <v>11.504920120398241</v>
      </c>
      <c r="N88">
        <f t="shared" si="8"/>
        <v>43.204920120398242</v>
      </c>
      <c r="O88" t="s">
        <v>778</v>
      </c>
    </row>
    <row r="89" spans="1:15">
      <c r="A89" s="14" t="s">
        <v>128</v>
      </c>
      <c r="B89">
        <v>2.2000000000000002</v>
      </c>
      <c r="C89" t="s">
        <v>509</v>
      </c>
      <c r="D89" t="s">
        <v>510</v>
      </c>
      <c r="G89" t="s">
        <v>515</v>
      </c>
      <c r="H89" s="19" t="s">
        <v>197</v>
      </c>
      <c r="I89">
        <v>43.18</v>
      </c>
      <c r="J89">
        <f t="shared" si="4"/>
        <v>1.571064730592399</v>
      </c>
      <c r="K89">
        <f t="shared" si="5"/>
        <v>44.249999999999993</v>
      </c>
      <c r="L89">
        <f t="shared" si="6"/>
        <v>8.8499999999999943</v>
      </c>
      <c r="M89">
        <f t="shared" si="7"/>
        <v>13.903922865742723</v>
      </c>
      <c r="N89">
        <f t="shared" si="8"/>
        <v>49.30392286574272</v>
      </c>
      <c r="O89" t="s">
        <v>778</v>
      </c>
    </row>
    <row r="90" spans="1:15">
      <c r="A90" s="14" t="s">
        <v>517</v>
      </c>
      <c r="B90">
        <f>SUM(B86:B89)</f>
        <v>29.8</v>
      </c>
      <c r="C90" t="s">
        <v>509</v>
      </c>
      <c r="D90" t="s">
        <v>510</v>
      </c>
      <c r="G90" t="s">
        <v>515</v>
      </c>
      <c r="H90" s="19" t="s">
        <v>421</v>
      </c>
      <c r="I90">
        <v>10.71</v>
      </c>
      <c r="J90">
        <f t="shared" si="4"/>
        <v>0.38967353554063444</v>
      </c>
      <c r="K90">
        <f t="shared" si="5"/>
        <v>44.249999999999993</v>
      </c>
      <c r="L90">
        <f t="shared" si="6"/>
        <v>8.8499999999999943</v>
      </c>
      <c r="M90">
        <f t="shared" si="7"/>
        <v>3.4486107895346128</v>
      </c>
      <c r="N90">
        <f t="shared" si="8"/>
        <v>38.848610789534611</v>
      </c>
      <c r="O90" t="s">
        <v>778</v>
      </c>
    </row>
    <row r="91" spans="1:15">
      <c r="A91" s="14" t="s">
        <v>518</v>
      </c>
      <c r="B91" t="s">
        <v>519</v>
      </c>
      <c r="C91" t="s">
        <v>520</v>
      </c>
      <c r="H91" s="19" t="s">
        <v>191</v>
      </c>
      <c r="I91">
        <v>39.54</v>
      </c>
      <c r="J91">
        <f t="shared" si="4"/>
        <v>1.4386266662256475</v>
      </c>
      <c r="K91">
        <f t="shared" si="5"/>
        <v>44.249999999999993</v>
      </c>
      <c r="L91">
        <f t="shared" si="6"/>
        <v>8.8499999999999943</v>
      </c>
      <c r="M91">
        <f t="shared" si="7"/>
        <v>12.731845996096972</v>
      </c>
      <c r="N91">
        <f t="shared" si="8"/>
        <v>48.13184599609697</v>
      </c>
      <c r="O91" t="s">
        <v>778</v>
      </c>
    </row>
    <row r="92" spans="1:15">
      <c r="H92" s="19" t="s">
        <v>198</v>
      </c>
      <c r="I92">
        <v>32.49</v>
      </c>
      <c r="J92">
        <f t="shared" si="4"/>
        <v>1.1821188767241095</v>
      </c>
      <c r="K92">
        <f t="shared" si="5"/>
        <v>44.249999999999993</v>
      </c>
      <c r="L92">
        <f t="shared" si="6"/>
        <v>8.8499999999999943</v>
      </c>
      <c r="M92">
        <f t="shared" si="7"/>
        <v>10.461752059008363</v>
      </c>
      <c r="N92">
        <f t="shared" si="8"/>
        <v>45.86175205900836</v>
      </c>
      <c r="O92" t="s">
        <v>778</v>
      </c>
    </row>
    <row r="93" spans="1:15">
      <c r="H93" s="19" t="s">
        <v>422</v>
      </c>
      <c r="I93">
        <v>38.19</v>
      </c>
      <c r="J93">
        <f t="shared" si="4"/>
        <v>1.3895081533423741</v>
      </c>
      <c r="K93">
        <f t="shared" si="5"/>
        <v>41.958333333333329</v>
      </c>
      <c r="L93">
        <f t="shared" si="6"/>
        <v>8.3916666666666657</v>
      </c>
      <c r="M93">
        <f t="shared" si="7"/>
        <v>11.660289253464756</v>
      </c>
      <c r="N93">
        <f t="shared" si="8"/>
        <v>45.226955920131417</v>
      </c>
      <c r="O93" t="s">
        <v>778</v>
      </c>
    </row>
    <row r="94" spans="1:15">
      <c r="A94" s="15" t="s">
        <v>638</v>
      </c>
      <c r="B94" s="1" t="s">
        <v>176</v>
      </c>
      <c r="C94" s="1" t="s">
        <v>720</v>
      </c>
      <c r="D94" s="1" t="s">
        <v>721</v>
      </c>
      <c r="E94" t="s">
        <v>458</v>
      </c>
      <c r="G94" t="s">
        <v>689</v>
      </c>
      <c r="H94" s="19" t="s">
        <v>423</v>
      </c>
      <c r="I94">
        <v>22.98</v>
      </c>
      <c r="J94">
        <f t="shared" si="4"/>
        <v>0.83610624152416235</v>
      </c>
      <c r="K94">
        <f t="shared" si="5"/>
        <v>41.958333333333329</v>
      </c>
      <c r="L94">
        <f t="shared" si="6"/>
        <v>8.3916666666666657</v>
      </c>
      <c r="M94">
        <f t="shared" si="7"/>
        <v>7.0163248767902617</v>
      </c>
      <c r="N94">
        <f t="shared" si="8"/>
        <v>40.582991543456927</v>
      </c>
      <c r="O94" t="s">
        <v>778</v>
      </c>
    </row>
    <row r="95" spans="1:15">
      <c r="A95" t="s">
        <v>540</v>
      </c>
      <c r="B95">
        <v>2022</v>
      </c>
      <c r="C95">
        <v>264000</v>
      </c>
      <c r="D95" s="48">
        <f>Demand!B55/10^6*0.2</f>
        <v>2.1120000000000001</v>
      </c>
      <c r="H95" s="19" t="s">
        <v>303</v>
      </c>
      <c r="I95">
        <v>26.46</v>
      </c>
      <c r="J95">
        <f t="shared" si="4"/>
        <v>0.96272285251215561</v>
      </c>
      <c r="K95">
        <f t="shared" si="5"/>
        <v>41.958333333333329</v>
      </c>
      <c r="L95">
        <f t="shared" si="6"/>
        <v>8.3916666666666657</v>
      </c>
      <c r="M95">
        <f t="shared" si="7"/>
        <v>8.0788492706645041</v>
      </c>
      <c r="N95">
        <f t="shared" si="8"/>
        <v>41.645515937331169</v>
      </c>
      <c r="O95" t="s">
        <v>778</v>
      </c>
    </row>
    <row r="96" spans="1:15">
      <c r="A96" t="s">
        <v>541</v>
      </c>
      <c r="B96">
        <v>2022</v>
      </c>
      <c r="C96" s="53">
        <v>187500</v>
      </c>
      <c r="D96" s="64">
        <f>B41</f>
        <v>1.5</v>
      </c>
      <c r="H96" s="19" t="s">
        <v>108</v>
      </c>
      <c r="I96">
        <v>7.98</v>
      </c>
      <c r="J96">
        <f t="shared" si="4"/>
        <v>0.29034498726557073</v>
      </c>
      <c r="K96">
        <f t="shared" si="5"/>
        <v>41.958333333333329</v>
      </c>
      <c r="L96">
        <f t="shared" si="6"/>
        <v>8.3916666666666657</v>
      </c>
      <c r="M96">
        <f>L96*J96</f>
        <v>2.4364783514702473</v>
      </c>
      <c r="N96">
        <f>M96+D83</f>
        <v>36.003145018136912</v>
      </c>
      <c r="O96" t="s">
        <v>778</v>
      </c>
    </row>
    <row r="97" spans="1:15">
      <c r="A97" t="s">
        <v>542</v>
      </c>
      <c r="B97">
        <v>2022</v>
      </c>
      <c r="C97">
        <v>0</v>
      </c>
      <c r="D97" s="48">
        <v>0.01</v>
      </c>
      <c r="I97" s="1">
        <f>AVERAGE(I86:I96)</f>
        <v>27.484545454545454</v>
      </c>
      <c r="J97">
        <f t="shared" si="4"/>
        <v>1</v>
      </c>
      <c r="K97">
        <f t="shared" ref="K97" si="9">D84/2*3</f>
        <v>0</v>
      </c>
      <c r="M97">
        <f>K97*J97</f>
        <v>0</v>
      </c>
      <c r="N97">
        <f>AVERAGE(N86:N96)</f>
        <v>42.796515121445665</v>
      </c>
      <c r="O97" t="s">
        <v>778</v>
      </c>
    </row>
    <row r="98" spans="1:15">
      <c r="A98" t="s">
        <v>539</v>
      </c>
      <c r="B98">
        <v>2022</v>
      </c>
      <c r="C98" s="53">
        <v>6250000</v>
      </c>
      <c r="D98" s="64">
        <f>B31</f>
        <v>50</v>
      </c>
    </row>
    <row r="99" spans="1:15">
      <c r="A99" t="s">
        <v>543</v>
      </c>
      <c r="B99">
        <v>2022</v>
      </c>
      <c r="C99" s="53">
        <v>156250</v>
      </c>
      <c r="D99" s="64">
        <f>B43</f>
        <v>1.25</v>
      </c>
      <c r="O99" t="s">
        <v>777</v>
      </c>
    </row>
    <row r="100" spans="1:15">
      <c r="A100" t="s">
        <v>544</v>
      </c>
      <c r="B100">
        <v>2022</v>
      </c>
      <c r="C100" s="53">
        <v>531250</v>
      </c>
      <c r="D100" s="64">
        <f>B40</f>
        <v>4.25</v>
      </c>
    </row>
    <row r="101" spans="1:15">
      <c r="A101" t="s">
        <v>545</v>
      </c>
      <c r="B101">
        <v>2022</v>
      </c>
      <c r="C101" s="53">
        <v>500000</v>
      </c>
      <c r="D101" s="64">
        <f>B42</f>
        <v>4</v>
      </c>
    </row>
    <row r="102" spans="1:15">
      <c r="A102" t="s">
        <v>546</v>
      </c>
      <c r="B102">
        <v>2022</v>
      </c>
      <c r="C102" s="53">
        <v>1142276.3101953585</v>
      </c>
      <c r="D102" s="64">
        <f>B35</f>
        <v>9.1382104815628686</v>
      </c>
    </row>
    <row r="103" spans="1:15">
      <c r="A103" t="s">
        <v>547</v>
      </c>
      <c r="B103">
        <v>2022</v>
      </c>
      <c r="C103" s="53">
        <v>857723.68980464141</v>
      </c>
      <c r="D103" s="64">
        <f>B36</f>
        <v>6.8617895184371314</v>
      </c>
    </row>
    <row r="104" spans="1:15">
      <c r="A104" t="s">
        <v>548</v>
      </c>
      <c r="B104">
        <v>2022</v>
      </c>
      <c r="C104" s="53">
        <v>625000</v>
      </c>
      <c r="D104" s="64">
        <f>B44</f>
        <v>14</v>
      </c>
      <c r="E104">
        <v>1640</v>
      </c>
      <c r="G104" t="s">
        <v>687</v>
      </c>
      <c r="H104" t="s">
        <v>692</v>
      </c>
    </row>
    <row r="105" spans="1:15">
      <c r="A105" t="s">
        <v>449</v>
      </c>
      <c r="B105">
        <v>2022</v>
      </c>
      <c r="C105" s="53">
        <v>1486000</v>
      </c>
      <c r="D105" s="64">
        <f>B37-D95</f>
        <v>11.888</v>
      </c>
      <c r="E105">
        <v>1740</v>
      </c>
      <c r="G105" t="s">
        <v>690</v>
      </c>
      <c r="H105" t="s">
        <v>691</v>
      </c>
    </row>
    <row r="106" spans="1:15">
      <c r="A106" t="s">
        <v>214</v>
      </c>
      <c r="B106">
        <v>2022</v>
      </c>
      <c r="C106" s="53">
        <v>4250000</v>
      </c>
      <c r="D106" s="64">
        <f>B32</f>
        <v>34</v>
      </c>
    </row>
    <row r="107" spans="1:15">
      <c r="D107" s="75">
        <f>SUM(D95:D106)</f>
        <v>139.01</v>
      </c>
    </row>
    <row r="108" spans="1:15">
      <c r="A108" s="1"/>
      <c r="B108" t="s">
        <v>649</v>
      </c>
      <c r="C108" t="s">
        <v>788</v>
      </c>
      <c r="D108" s="73" t="s">
        <v>787</v>
      </c>
    </row>
    <row r="109" spans="1:15">
      <c r="A109" t="s">
        <v>540</v>
      </c>
      <c r="B109">
        <f>AVERAGE($N$31:$N$33)</f>
        <v>113.39999999999999</v>
      </c>
      <c r="C109" s="48">
        <f>N93</f>
        <v>45.226955920131417</v>
      </c>
    </row>
    <row r="110" spans="1:15">
      <c r="A110" t="s">
        <v>541</v>
      </c>
      <c r="B110">
        <f>$N$33</f>
        <v>142.79999999999998</v>
      </c>
      <c r="C110" s="48">
        <f>N91</f>
        <v>48.13184599609697</v>
      </c>
      <c r="D110">
        <f>D66</f>
        <v>0</v>
      </c>
    </row>
    <row r="111" spans="1:15">
      <c r="A111" t="s">
        <v>542</v>
      </c>
      <c r="B111">
        <f>AVERAGE($N$31:$N$33)</f>
        <v>113.39999999999999</v>
      </c>
      <c r="C111" s="48">
        <f>N96</f>
        <v>36.003145018136912</v>
      </c>
    </row>
    <row r="112" spans="1:15">
      <c r="A112" t="s">
        <v>539</v>
      </c>
      <c r="B112" s="53">
        <f>N31</f>
        <v>50.4</v>
      </c>
      <c r="C112" s="48">
        <f>N87</f>
        <v>37.664829821717987</v>
      </c>
    </row>
    <row r="113" spans="1:13">
      <c r="A113" t="s">
        <v>543</v>
      </c>
      <c r="B113">
        <f>$N$33</f>
        <v>142.79999999999998</v>
      </c>
      <c r="C113" s="48">
        <f>N90</f>
        <v>38.848610789534611</v>
      </c>
      <c r="D113">
        <f>D64</f>
        <v>4000</v>
      </c>
    </row>
    <row r="114" spans="1:13">
      <c r="A114" t="s">
        <v>544</v>
      </c>
      <c r="B114">
        <f t="shared" ref="B114:B115" si="10">$N$33</f>
        <v>142.79999999999998</v>
      </c>
      <c r="C114" s="48">
        <f>N89</f>
        <v>49.30392286574272</v>
      </c>
      <c r="D114">
        <f>D62</f>
        <v>1920</v>
      </c>
    </row>
    <row r="115" spans="1:13">
      <c r="A115" t="s">
        <v>545</v>
      </c>
      <c r="B115">
        <f t="shared" si="10"/>
        <v>142.79999999999998</v>
      </c>
      <c r="C115" s="48">
        <f>N92</f>
        <v>45.86175205900836</v>
      </c>
      <c r="D115">
        <f>D58</f>
        <v>1224</v>
      </c>
    </row>
    <row r="116" spans="1:13">
      <c r="A116" t="s">
        <v>546</v>
      </c>
      <c r="B116">
        <f>AVERAGE($N$31:$N$33)</f>
        <v>113.39999999999999</v>
      </c>
      <c r="C116" s="48">
        <f>N95</f>
        <v>41.645515937331169</v>
      </c>
    </row>
    <row r="117" spans="1:13">
      <c r="A117" t="s">
        <v>547</v>
      </c>
      <c r="B117">
        <f>AVERAGE($N$31:$N$33)</f>
        <v>113.39999999999999</v>
      </c>
      <c r="C117" s="48">
        <f>N94</f>
        <v>40.582991543456927</v>
      </c>
    </row>
    <row r="118" spans="1:13">
      <c r="A118" t="s">
        <v>548</v>
      </c>
      <c r="B118">
        <f>$N$33</f>
        <v>142.79999999999998</v>
      </c>
      <c r="C118" s="48">
        <f>N86</f>
        <v>44.287176264346897</v>
      </c>
      <c r="D118">
        <f>D67</f>
        <v>7192</v>
      </c>
    </row>
    <row r="119" spans="1:13">
      <c r="A119" t="s">
        <v>449</v>
      </c>
      <c r="B119">
        <f>AVERAGE($N$31:$N$33)</f>
        <v>113.39999999999999</v>
      </c>
      <c r="C119" s="48">
        <f>N97</f>
        <v>42.796515121445665</v>
      </c>
    </row>
    <row r="120" spans="1:13">
      <c r="A120" t="s">
        <v>214</v>
      </c>
      <c r="B120">
        <f>N32</f>
        <v>147</v>
      </c>
      <c r="C120" s="48">
        <f>N88</f>
        <v>43.204920120398242</v>
      </c>
      <c r="J120" t="s">
        <v>944</v>
      </c>
    </row>
    <row r="122" spans="1:13">
      <c r="G122" t="s">
        <v>791</v>
      </c>
      <c r="H122" t="s">
        <v>651</v>
      </c>
      <c r="J122" t="s">
        <v>939</v>
      </c>
    </row>
    <row r="123" spans="1:13">
      <c r="A123" s="1" t="s">
        <v>638</v>
      </c>
      <c r="B123">
        <v>2023</v>
      </c>
      <c r="C123">
        <v>2030</v>
      </c>
      <c r="D123">
        <v>2035</v>
      </c>
      <c r="F123" t="s">
        <v>540</v>
      </c>
      <c r="G123" s="48">
        <f>Demand!B68/10^6*0.2</f>
        <v>3.5166352474395417</v>
      </c>
      <c r="H123" s="26">
        <f>(G123/D95)^(1/($D$123-$B$95))-1</f>
        <v>4.0000000000000036E-2</v>
      </c>
      <c r="J123" t="s">
        <v>389</v>
      </c>
      <c r="K123">
        <v>0.1</v>
      </c>
      <c r="L123" t="s">
        <v>940</v>
      </c>
      <c r="M123" t="s">
        <v>943</v>
      </c>
    </row>
    <row r="124" spans="1:13">
      <c r="A124" t="s">
        <v>5</v>
      </c>
      <c r="B124">
        <v>50</v>
      </c>
      <c r="D124">
        <f>$D$129*0.4</f>
        <v>139.20000000000002</v>
      </c>
      <c r="F124" t="s">
        <v>541</v>
      </c>
      <c r="G124">
        <f>D126*0.06</f>
        <v>3.1319999999999997</v>
      </c>
      <c r="H124" s="26">
        <f t="shared" ref="H124:H134" si="11">(G124/D96)^(1/($D$123-$B$95))-1</f>
        <v>5.8265537224536201E-2</v>
      </c>
      <c r="J124" t="s">
        <v>941</v>
      </c>
      <c r="K124">
        <v>0.2</v>
      </c>
      <c r="L124" t="s">
        <v>946</v>
      </c>
      <c r="M124" t="s">
        <v>943</v>
      </c>
    </row>
    <row r="125" spans="1:13">
      <c r="A125" t="s">
        <v>183</v>
      </c>
      <c r="B125">
        <v>34</v>
      </c>
      <c r="D125">
        <f>$D$129*0.28</f>
        <v>97.440000000000012</v>
      </c>
      <c r="F125" t="s">
        <v>542</v>
      </c>
      <c r="G125">
        <f>1.3*'cost estimate'!B31</f>
        <v>10.4</v>
      </c>
      <c r="H125" s="26">
        <v>2.8999999999999998E-3</v>
      </c>
      <c r="J125" t="s">
        <v>879</v>
      </c>
      <c r="K125">
        <v>0.1</v>
      </c>
      <c r="L125" t="s">
        <v>946</v>
      </c>
      <c r="M125" t="s">
        <v>947</v>
      </c>
    </row>
    <row r="126" spans="1:13">
      <c r="A126" t="s">
        <v>184</v>
      </c>
      <c r="B126">
        <v>25</v>
      </c>
      <c r="C126">
        <f>B126*2</f>
        <v>50</v>
      </c>
      <c r="D126">
        <f>$D$129*0.15</f>
        <v>52.199999999999996</v>
      </c>
      <c r="F126" t="s">
        <v>539</v>
      </c>
      <c r="G126">
        <f>D124</f>
        <v>139.20000000000002</v>
      </c>
      <c r="H126" s="26">
        <f t="shared" si="11"/>
        <v>8.1945351803697664E-2</v>
      </c>
      <c r="J126" t="s">
        <v>942</v>
      </c>
      <c r="K126">
        <v>0.1</v>
      </c>
      <c r="L126" t="s">
        <v>946</v>
      </c>
      <c r="M126" t="s">
        <v>948</v>
      </c>
    </row>
    <row r="127" spans="1:13">
      <c r="A127" t="s">
        <v>634</v>
      </c>
      <c r="B127">
        <v>16</v>
      </c>
      <c r="D127">
        <f>$D$129*0.12</f>
        <v>41.76</v>
      </c>
      <c r="F127" t="s">
        <v>543</v>
      </c>
      <c r="G127">
        <f>D126*0.05</f>
        <v>2.61</v>
      </c>
      <c r="H127" s="26">
        <f t="shared" si="11"/>
        <v>5.8265537224536423E-2</v>
      </c>
      <c r="J127" t="s">
        <v>771</v>
      </c>
      <c r="K127">
        <v>0.2</v>
      </c>
      <c r="L127" t="s">
        <v>946</v>
      </c>
      <c r="M127" t="s">
        <v>945</v>
      </c>
    </row>
    <row r="128" spans="1:13">
      <c r="A128" t="s">
        <v>790</v>
      </c>
      <c r="B128">
        <v>139</v>
      </c>
      <c r="D128">
        <f>D129-SUM(D124:D127)</f>
        <v>17.399999999999977</v>
      </c>
      <c r="F128" t="s">
        <v>544</v>
      </c>
      <c r="G128">
        <f>D126*0.17</f>
        <v>8.8740000000000006</v>
      </c>
      <c r="H128" s="26">
        <f t="shared" si="11"/>
        <v>5.8265537224536423E-2</v>
      </c>
      <c r="J128" t="s">
        <v>447</v>
      </c>
      <c r="K128">
        <v>0.02</v>
      </c>
      <c r="L128" t="s">
        <v>946</v>
      </c>
      <c r="M128" t="s">
        <v>943</v>
      </c>
    </row>
    <row r="129" spans="1:27">
      <c r="A129" t="s">
        <v>242</v>
      </c>
      <c r="B129">
        <v>139</v>
      </c>
      <c r="C129">
        <v>265</v>
      </c>
      <c r="D129">
        <f>AVERAGE(301,395)</f>
        <v>348</v>
      </c>
      <c r="F129" t="s">
        <v>545</v>
      </c>
      <c r="G129">
        <f>D126*0.16</f>
        <v>8.3520000000000003</v>
      </c>
      <c r="H129" s="26">
        <f t="shared" si="11"/>
        <v>5.8265537224536423E-2</v>
      </c>
    </row>
    <row r="130" spans="1:27">
      <c r="F130" t="s">
        <v>546</v>
      </c>
      <c r="G130" s="49">
        <f>D127*Demand!I38/SUM(Demand!I38:J38)</f>
        <v>23.850729356879089</v>
      </c>
      <c r="H130" s="26">
        <f t="shared" si="11"/>
        <v>7.6587343271072195E-2</v>
      </c>
    </row>
    <row r="131" spans="1:27">
      <c r="F131" t="s">
        <v>547</v>
      </c>
      <c r="G131" s="49">
        <f>D127-G130</f>
        <v>17.909270643120909</v>
      </c>
      <c r="H131" s="26">
        <f t="shared" si="11"/>
        <v>7.6587343271072195E-2</v>
      </c>
    </row>
    <row r="132" spans="1:27">
      <c r="F132" t="s">
        <v>548</v>
      </c>
      <c r="G132">
        <f>D126-SUM(G127:G129,G124)</f>
        <v>29.231999999999999</v>
      </c>
      <c r="H132" s="26">
        <f t="shared" si="11"/>
        <v>5.8265537224536423E-2</v>
      </c>
    </row>
    <row r="133" spans="1:27">
      <c r="F133" t="s">
        <v>449</v>
      </c>
      <c r="G133" s="49">
        <f>D129-SUM(G123:G132,G134)</f>
        <v>3.4833647525604192</v>
      </c>
      <c r="H133" s="26">
        <f>(G133/D105)^(1/($D$123-$B$95))-1</f>
        <v>-9.010443017655978E-2</v>
      </c>
    </row>
    <row r="134" spans="1:27">
      <c r="B134" s="74"/>
      <c r="F134" t="s">
        <v>214</v>
      </c>
      <c r="G134">
        <f>D125</f>
        <v>97.440000000000012</v>
      </c>
      <c r="H134" s="26">
        <f t="shared" si="11"/>
        <v>8.4360576686857813E-2</v>
      </c>
    </row>
    <row r="135" spans="1:27">
      <c r="F135" t="s">
        <v>792</v>
      </c>
      <c r="G135" s="48">
        <f>SUM(G123:G134)</f>
        <v>348</v>
      </c>
      <c r="H135" s="52"/>
    </row>
    <row r="137" spans="1:27">
      <c r="A137" t="s">
        <v>928</v>
      </c>
    </row>
    <row r="139" spans="1:27">
      <c r="A139" s="1" t="s">
        <v>176</v>
      </c>
      <c r="B139" s="1" t="s">
        <v>540</v>
      </c>
      <c r="C139" s="1" t="s">
        <v>541</v>
      </c>
      <c r="D139" s="1" t="s">
        <v>542</v>
      </c>
      <c r="E139" s="1" t="s">
        <v>539</v>
      </c>
      <c r="F139" s="1" t="s">
        <v>543</v>
      </c>
      <c r="G139" s="1" t="s">
        <v>544</v>
      </c>
      <c r="H139" s="1" t="s">
        <v>545</v>
      </c>
      <c r="I139" s="1" t="s">
        <v>546</v>
      </c>
      <c r="J139" s="1" t="s">
        <v>547</v>
      </c>
      <c r="K139" s="1" t="s">
        <v>548</v>
      </c>
      <c r="L139" s="1" t="s">
        <v>449</v>
      </c>
      <c r="M139" s="1" t="s">
        <v>214</v>
      </c>
      <c r="O139" s="1" t="s">
        <v>954</v>
      </c>
      <c r="P139" s="1" t="s">
        <v>540</v>
      </c>
      <c r="Q139" s="1" t="s">
        <v>541</v>
      </c>
      <c r="R139" s="1" t="s">
        <v>542</v>
      </c>
      <c r="S139" s="1" t="s">
        <v>539</v>
      </c>
      <c r="T139" s="1" t="s">
        <v>543</v>
      </c>
      <c r="U139" s="1" t="s">
        <v>544</v>
      </c>
      <c r="V139" s="1" t="s">
        <v>545</v>
      </c>
      <c r="W139" s="1" t="s">
        <v>546</v>
      </c>
      <c r="X139" s="1" t="s">
        <v>547</v>
      </c>
      <c r="Y139" s="1" t="s">
        <v>548</v>
      </c>
      <c r="Z139" s="1" t="s">
        <v>449</v>
      </c>
      <c r="AA139" s="1" t="s">
        <v>214</v>
      </c>
    </row>
    <row r="140" spans="1:27">
      <c r="A140">
        <v>2022</v>
      </c>
      <c r="B140" s="49">
        <v>2.1120000000000001</v>
      </c>
      <c r="C140" s="49">
        <v>1.5</v>
      </c>
      <c r="D140" s="49">
        <v>0</v>
      </c>
      <c r="E140" s="49">
        <v>50</v>
      </c>
      <c r="F140" s="49">
        <v>1.25</v>
      </c>
      <c r="G140" s="49">
        <v>4.25</v>
      </c>
      <c r="H140" s="49">
        <v>4</v>
      </c>
      <c r="I140" s="49">
        <v>9.1382104815628686</v>
      </c>
      <c r="J140" s="49">
        <v>6.8617895184371314</v>
      </c>
      <c r="K140" s="49">
        <v>14</v>
      </c>
      <c r="L140" s="49">
        <v>11.888</v>
      </c>
      <c r="M140" s="49">
        <v>34</v>
      </c>
      <c r="O140">
        <v>2022</v>
      </c>
      <c r="P140" s="49">
        <v>10.56</v>
      </c>
      <c r="Q140" s="49">
        <v>0.39363199999999998</v>
      </c>
      <c r="R140" s="49">
        <v>0</v>
      </c>
      <c r="S140" s="49">
        <v>31</v>
      </c>
      <c r="T140" s="49">
        <v>0.48052</v>
      </c>
      <c r="U140" s="49">
        <v>1.8879999999999999</v>
      </c>
      <c r="V140" s="49">
        <v>4.0187920000000004</v>
      </c>
      <c r="W140" s="49">
        <v>5.968</v>
      </c>
      <c r="X140" s="49">
        <v>4.481310638297872</v>
      </c>
      <c r="Y140" s="49">
        <v>17.219055999999998</v>
      </c>
      <c r="Z140" s="49">
        <v>4.9906893617021293</v>
      </c>
      <c r="AA140" s="49">
        <v>30</v>
      </c>
    </row>
    <row r="141" spans="1:27">
      <c r="A141">
        <v>2023</v>
      </c>
      <c r="B141" s="49">
        <f>B$140*(1+$H$123)^($A141-$A$140)</f>
        <v>2.1964800000000002</v>
      </c>
      <c r="C141" s="49">
        <f>C$140*(1+$H$124)^($A141-$A$140)</f>
        <v>1.5873983058368042</v>
      </c>
      <c r="D141" s="49">
        <v>0</v>
      </c>
      <c r="E141" s="49">
        <f>E$140*(1+$H$126)^($A141-$A$140)</f>
        <v>54.097267590184885</v>
      </c>
      <c r="F141" s="49">
        <f>F$140*(1+$H$127)^($A141-$A$140)</f>
        <v>1.3228319215306705</v>
      </c>
      <c r="G141" s="49">
        <f>G$140*(1+$H$128)^($A141-$A$140)</f>
        <v>4.4976285332042796</v>
      </c>
      <c r="H141" s="49">
        <f>H$140*(1+$H$129)^($A141-$A$140)</f>
        <v>4.2330621488981457</v>
      </c>
      <c r="I141" s="49">
        <f>I$140*(1+$H$130)^($A141-$A$140)</f>
        <v>9.8380817445976341</v>
      </c>
      <c r="J141" s="49">
        <f>J$140*(1+$H$131)^($A141-$A$140)</f>
        <v>7.387315747739521</v>
      </c>
      <c r="K141" s="49">
        <f>K$140*(1+$H$132)^($A141-$A$140)</f>
        <v>14.81571752114351</v>
      </c>
      <c r="L141" s="49">
        <f>L$140*(1+$H$133)^($A141-$A$140)</f>
        <v>10.816838534061057</v>
      </c>
      <c r="M141" s="49">
        <f>M$140*(1+$H$134)^($A141-$A$140)</f>
        <v>36.868259607353167</v>
      </c>
      <c r="O141">
        <v>2023</v>
      </c>
      <c r="P141" s="49">
        <v>10.9824</v>
      </c>
      <c r="Q141" s="49">
        <v>0.46054943999999992</v>
      </c>
      <c r="R141" s="49">
        <v>0</v>
      </c>
      <c r="S141" s="49">
        <v>31.954960236308192</v>
      </c>
      <c r="T141" s="49">
        <v>0.56220840000000005</v>
      </c>
      <c r="U141" s="49">
        <v>2.2089599999999998</v>
      </c>
      <c r="V141" s="49">
        <v>4.7019866399999994</v>
      </c>
      <c r="W141" s="49">
        <v>6.3986703663180986</v>
      </c>
      <c r="X141" s="49">
        <v>4.8046966460359632</v>
      </c>
      <c r="Y141" s="49">
        <v>20.146295519999999</v>
      </c>
      <c r="Z141" s="49">
        <v>5.3508338013107233</v>
      </c>
      <c r="AA141" s="49">
        <v>32.64</v>
      </c>
    </row>
    <row r="142" spans="1:27">
      <c r="A142">
        <v>2024</v>
      </c>
      <c r="B142" s="49">
        <f t="shared" ref="B142:B152" si="12">B$140*(1+$H$123)^($A142-$A$140)</f>
        <v>2.2843392000000002</v>
      </c>
      <c r="C142" s="49">
        <f t="shared" ref="C142:C153" si="13">C$140*(1+$H$124)^($A142-$A$140)</f>
        <v>1.6798889209157042</v>
      </c>
      <c r="D142" s="49">
        <f t="shared" ref="D142:D151" si="14">$D$153/((1+$H$125)^($A$153-A142))</f>
        <v>10.073940811309541</v>
      </c>
      <c r="E142" s="49">
        <f t="shared" ref="E142:E153" si="15">E$140*(1+$H$126)^($A142-$A$140)</f>
        <v>58.530287214481355</v>
      </c>
      <c r="F142" s="49">
        <f t="shared" ref="F142:F153" si="16">F$140*(1+$H$127)^($A142-$A$140)</f>
        <v>1.399907434096421</v>
      </c>
      <c r="G142" s="49">
        <f t="shared" ref="G142:G153" si="17">G$140*(1+$H$128)^($A142-$A$140)</f>
        <v>4.759685275927831</v>
      </c>
      <c r="H142" s="49">
        <f t="shared" ref="H142:H153" si="18">H$140*(1+$H$129)^($A142-$A$140)</f>
        <v>4.4797037891085472</v>
      </c>
      <c r="I142" s="49">
        <f t="shared" ref="I142:I153" si="19">I$140*(1+$H$130)^($A142-$A$140)</f>
        <v>10.591554288300003</v>
      </c>
      <c r="J142" s="49">
        <f t="shared" ref="J142:J153" si="20">J$140*(1+$H$131)^($A142-$A$140)</f>
        <v>7.9530906347634458</v>
      </c>
      <c r="K142" s="49">
        <f t="shared" ref="K142:K153" si="21">K$140*(1+$H$132)^($A142-$A$140)</f>
        <v>15.678963261879915</v>
      </c>
      <c r="L142" s="49">
        <f t="shared" ref="L142:L153" si="22">L$140*(1+$H$133)^($A142-$A$140)</f>
        <v>9.8421934616376312</v>
      </c>
      <c r="M142" s="49">
        <f t="shared" ref="M142:M153" si="23">M$140*(1+$H$134)^($A142-$A$140)</f>
        <v>39.978487249270266</v>
      </c>
      <c r="O142">
        <v>2024</v>
      </c>
      <c r="P142" s="49">
        <v>11.421696000000003</v>
      </c>
      <c r="Q142" s="49">
        <v>0.5388428448</v>
      </c>
      <c r="R142" s="49">
        <v>0</v>
      </c>
      <c r="S142" s="49">
        <v>32.939338184001208</v>
      </c>
      <c r="T142" s="49">
        <v>0.6577838279999999</v>
      </c>
      <c r="U142" s="49">
        <v>2.5844831999999998</v>
      </c>
      <c r="V142" s="49">
        <v>5.5013243687999998</v>
      </c>
      <c r="W142" s="49">
        <v>6.8604193124660506</v>
      </c>
      <c r="X142" s="49">
        <v>5.1514192439909996</v>
      </c>
      <c r="Y142" s="49">
        <v>23.571165758399996</v>
      </c>
      <c r="Z142" s="49">
        <v>5.7369674396012327</v>
      </c>
      <c r="AA142" s="49">
        <v>35.51232000000001</v>
      </c>
    </row>
    <row r="143" spans="1:27">
      <c r="A143">
        <v>2025</v>
      </c>
      <c r="B143" s="49">
        <f t="shared" si="12"/>
        <v>2.3757127680000001</v>
      </c>
      <c r="C143" s="49">
        <f t="shared" si="13"/>
        <v>1.7777685513704042</v>
      </c>
      <c r="D143" s="49">
        <f t="shared" si="14"/>
        <v>10.103155239662337</v>
      </c>
      <c r="E143" s="49">
        <f t="shared" si="15"/>
        <v>63.326572191443496</v>
      </c>
      <c r="F143" s="49">
        <f t="shared" si="16"/>
        <v>1.4814737928086714</v>
      </c>
      <c r="G143" s="49">
        <f t="shared" si="17"/>
        <v>5.0370108955494821</v>
      </c>
      <c r="H143" s="49">
        <f t="shared" si="18"/>
        <v>4.7407161369877482</v>
      </c>
      <c r="I143" s="49">
        <f t="shared" si="19"/>
        <v>11.402733292352231</v>
      </c>
      <c r="J143" s="49">
        <f t="shared" si="20"/>
        <v>8.5621967172740234</v>
      </c>
      <c r="K143" s="49">
        <f t="shared" si="21"/>
        <v>16.592506479457118</v>
      </c>
      <c r="L143" s="49">
        <f t="shared" si="22"/>
        <v>8.9553682280893092</v>
      </c>
      <c r="M143" s="49">
        <f t="shared" si="23"/>
        <v>43.351095488686902</v>
      </c>
      <c r="O143">
        <v>2025</v>
      </c>
      <c r="P143" s="49">
        <v>11.878563840000002</v>
      </c>
      <c r="Q143" s="49">
        <v>0.6304461284159999</v>
      </c>
      <c r="R143" s="49">
        <v>0</v>
      </c>
      <c r="S143" s="49">
        <v>33.954040060647316</v>
      </c>
      <c r="T143" s="49">
        <v>0.76960707875999979</v>
      </c>
      <c r="U143" s="49">
        <v>3.0238453439999997</v>
      </c>
      <c r="V143" s="49">
        <v>6.4365495114959987</v>
      </c>
      <c r="W143" s="49">
        <v>7.3554895702400982</v>
      </c>
      <c r="X143" s="49">
        <v>5.5231624767101195</v>
      </c>
      <c r="Y143" s="49">
        <v>27.578263937327996</v>
      </c>
      <c r="Z143" s="49">
        <v>6.1509657420087507</v>
      </c>
      <c r="AA143" s="49">
        <v>38.63740416000001</v>
      </c>
    </row>
    <row r="144" spans="1:27">
      <c r="A144">
        <v>2026</v>
      </c>
      <c r="B144" s="49">
        <f t="shared" si="12"/>
        <v>2.4707412787200007</v>
      </c>
      <c r="C144" s="49">
        <f t="shared" si="13"/>
        <v>1.8813511910768861</v>
      </c>
      <c r="D144" s="49">
        <f t="shared" si="14"/>
        <v>10.132454389857356</v>
      </c>
      <c r="E144" s="49">
        <f t="shared" si="15"/>
        <v>68.515890428193586</v>
      </c>
      <c r="F144" s="49">
        <f t="shared" si="16"/>
        <v>1.5677926592307403</v>
      </c>
      <c r="G144" s="49">
        <f t="shared" si="17"/>
        <v>5.3304950413845171</v>
      </c>
      <c r="H144" s="49">
        <f t="shared" si="18"/>
        <v>5.0169365095383691</v>
      </c>
      <c r="I144" s="49">
        <f t="shared" si="19"/>
        <v>12.276038341242096</v>
      </c>
      <c r="J144" s="49">
        <f t="shared" si="20"/>
        <v>9.2179526164143368</v>
      </c>
      <c r="K144" s="49">
        <f t="shared" si="21"/>
        <v>17.559277783384292</v>
      </c>
      <c r="L144" s="49">
        <f t="shared" si="22"/>
        <v>8.1484498768760556</v>
      </c>
      <c r="M144" s="49">
        <f t="shared" si="23"/>
        <v>47.008218904119573</v>
      </c>
      <c r="O144">
        <v>2026</v>
      </c>
      <c r="P144" s="49">
        <v>12.353706393600001</v>
      </c>
      <c r="Q144" s="49">
        <v>0.73762197024671983</v>
      </c>
      <c r="R144" s="49">
        <v>0</v>
      </c>
      <c r="S144" s="49">
        <v>35.000000000000007</v>
      </c>
      <c r="T144" s="49">
        <v>0.9004402821491998</v>
      </c>
      <c r="U144" s="49">
        <v>3.5378990524799989</v>
      </c>
      <c r="V144" s="49">
        <v>7.5307629284503177</v>
      </c>
      <c r="W144" s="49">
        <v>7.8862857142857168</v>
      </c>
      <c r="X144" s="49">
        <v>5.9217319148936181</v>
      </c>
      <c r="Y144" s="49">
        <v>32.266568806673753</v>
      </c>
      <c r="Z144" s="49">
        <v>6.5948395136778162</v>
      </c>
      <c r="AA144" s="49">
        <v>42.037495726080017</v>
      </c>
    </row>
    <row r="145" spans="1:27">
      <c r="A145">
        <v>2027</v>
      </c>
      <c r="B145" s="49">
        <f t="shared" si="12"/>
        <v>2.5695709298688008</v>
      </c>
      <c r="C145" s="49">
        <f t="shared" si="13"/>
        <v>1.9909691289330018</v>
      </c>
      <c r="D145" s="49">
        <f t="shared" si="14"/>
        <v>10.161838507587943</v>
      </c>
      <c r="E145" s="49">
        <f t="shared" si="15"/>
        <v>74.130449173475526</v>
      </c>
      <c r="F145" s="49">
        <f t="shared" si="16"/>
        <v>1.659140940777504</v>
      </c>
      <c r="G145" s="49">
        <f t="shared" si="17"/>
        <v>5.6410791986435136</v>
      </c>
      <c r="H145" s="49">
        <f t="shared" si="18"/>
        <v>5.3092510104880128</v>
      </c>
      <c r="I145" s="49">
        <f t="shared" si="19"/>
        <v>13.216227503691648</v>
      </c>
      <c r="J145" s="49">
        <f t="shared" si="20"/>
        <v>9.9239311177041394</v>
      </c>
      <c r="K145" s="49">
        <f t="shared" si="21"/>
        <v>18.582378536708045</v>
      </c>
      <c r="L145" s="49">
        <f t="shared" si="22"/>
        <v>7.4142384438978794</v>
      </c>
      <c r="M145" s="49">
        <f t="shared" si="23"/>
        <v>50.973859359893147</v>
      </c>
      <c r="O145">
        <v>2027</v>
      </c>
      <c r="P145" s="49">
        <v>12.847854649344002</v>
      </c>
      <c r="Q145" s="49">
        <v>0.86301770518866205</v>
      </c>
      <c r="R145" s="49">
        <v>0</v>
      </c>
      <c r="S145" s="49">
        <v>36.078180911960871</v>
      </c>
      <c r="T145" s="49">
        <v>1.0535151301145635</v>
      </c>
      <c r="U145" s="49">
        <v>4.1393418914015978</v>
      </c>
      <c r="V145" s="49">
        <v>8.8109926262868719</v>
      </c>
      <c r="W145" s="49">
        <v>8.455385841206061</v>
      </c>
      <c r="X145" s="49">
        <v>6.3490634251189535</v>
      </c>
      <c r="Y145" s="49">
        <v>37.751885503808282</v>
      </c>
      <c r="Z145" s="49">
        <v>7.0707446660177435</v>
      </c>
      <c r="AA145" s="49">
        <v>45.736795349975054</v>
      </c>
    </row>
    <row r="146" spans="1:27">
      <c r="A146">
        <v>2028</v>
      </c>
      <c r="B146" s="49">
        <f t="shared" si="12"/>
        <v>2.6723537670635529</v>
      </c>
      <c r="C146" s="49">
        <f t="shared" si="13"/>
        <v>2.1069740148277498</v>
      </c>
      <c r="D146" s="49">
        <f t="shared" si="14"/>
        <v>10.191307839259945</v>
      </c>
      <c r="E146" s="49">
        <f t="shared" si="15"/>
        <v>80.205094910362106</v>
      </c>
      <c r="F146" s="49">
        <f t="shared" si="16"/>
        <v>1.7558116790231282</v>
      </c>
      <c r="G146" s="49">
        <f t="shared" si="17"/>
        <v>5.9697597086786356</v>
      </c>
      <c r="H146" s="49">
        <f t="shared" si="18"/>
        <v>5.6185973728740102</v>
      </c>
      <c r="I146" s="49">
        <f t="shared" si="19"/>
        <v>14.228423256265467</v>
      </c>
      <c r="J146" s="49">
        <f t="shared" si="20"/>
        <v>10.683978636814222</v>
      </c>
      <c r="K146" s="49">
        <f t="shared" si="21"/>
        <v>19.665090805059037</v>
      </c>
      <c r="L146" s="49">
        <f t="shared" si="22"/>
        <v>6.7461827137173165</v>
      </c>
      <c r="M146" s="49">
        <f t="shared" si="23"/>
        <v>55.27404353144852</v>
      </c>
      <c r="O146">
        <v>2028</v>
      </c>
      <c r="P146" s="49">
        <v>13.361768835317765</v>
      </c>
      <c r="Q146" s="49">
        <v>1.0097307150707346</v>
      </c>
      <c r="R146" s="49">
        <v>0</v>
      </c>
      <c r="S146" s="49">
        <v>37.189575369033641</v>
      </c>
      <c r="T146" s="49">
        <v>1.2326127022340394</v>
      </c>
      <c r="U146" s="49">
        <v>4.8430300129398702</v>
      </c>
      <c r="V146" s="49">
        <v>10.30886137275564</v>
      </c>
      <c r="W146" s="49">
        <v>9.0655540914729986</v>
      </c>
      <c r="X146" s="49">
        <v>6.8072325724166802</v>
      </c>
      <c r="Y146" s="49">
        <v>44.169706039455697</v>
      </c>
      <c r="Z146" s="49">
        <v>7.5809926880444882</v>
      </c>
      <c r="AA146" s="49">
        <v>49.76163334077286</v>
      </c>
    </row>
    <row r="147" spans="1:27">
      <c r="A147">
        <v>2029</v>
      </c>
      <c r="B147" s="49">
        <f t="shared" si="12"/>
        <v>2.7792479177460949</v>
      </c>
      <c r="C147" s="49">
        <f t="shared" si="13"/>
        <v>2.2297379877198269</v>
      </c>
      <c r="D147" s="49">
        <f t="shared" si="14"/>
        <v>10.220862631993798</v>
      </c>
      <c r="E147" s="49">
        <f t="shared" si="15"/>
        <v>86.777529629240675</v>
      </c>
      <c r="F147" s="49">
        <f t="shared" si="16"/>
        <v>1.8581149897665261</v>
      </c>
      <c r="G147" s="49">
        <f t="shared" si="17"/>
        <v>6.3175909652061888</v>
      </c>
      <c r="H147" s="49">
        <f t="shared" si="18"/>
        <v>5.9459679672528836</v>
      </c>
      <c r="I147" s="49">
        <f t="shared" si="19"/>
        <v>15.318140392399176</v>
      </c>
      <c r="J147" s="49">
        <f t="shared" si="20"/>
        <v>11.502236176172715</v>
      </c>
      <c r="K147" s="49">
        <f t="shared" si="21"/>
        <v>20.810887885385092</v>
      </c>
      <c r="L147" s="49">
        <f t="shared" si="22"/>
        <v>6.1383217644308603</v>
      </c>
      <c r="M147" s="49">
        <f t="shared" si="23"/>
        <v>59.936993719576009</v>
      </c>
      <c r="O147">
        <v>2029</v>
      </c>
      <c r="P147" s="49">
        <v>13.896239588730474</v>
      </c>
      <c r="Q147" s="49">
        <v>1.1813849366327593</v>
      </c>
      <c r="R147" s="49">
        <v>0</v>
      </c>
      <c r="S147" s="49">
        <v>38.335206520085691</v>
      </c>
      <c r="T147" s="49">
        <v>1.4421568616138258</v>
      </c>
      <c r="U147" s="49">
        <v>5.6663451151396478</v>
      </c>
      <c r="V147" s="49">
        <v>12.061367806124096</v>
      </c>
      <c r="W147" s="49">
        <v>9.7197540749601323</v>
      </c>
      <c r="X147" s="49">
        <v>7.298464701366945</v>
      </c>
      <c r="Y147" s="49">
        <v>51.678556066163154</v>
      </c>
      <c r="Z147" s="49">
        <v>8.1280618733687078</v>
      </c>
      <c r="AA147" s="49">
        <v>54.140657074760881</v>
      </c>
    </row>
    <row r="148" spans="1:27">
      <c r="A148">
        <v>2030</v>
      </c>
      <c r="B148" s="49">
        <f t="shared" si="12"/>
        <v>2.8904178344559392</v>
      </c>
      <c r="C148" s="49">
        <f t="shared" si="13"/>
        <v>2.3596548694442787</v>
      </c>
      <c r="D148" s="49">
        <f t="shared" si="14"/>
        <v>10.250503133626577</v>
      </c>
      <c r="E148" s="49">
        <f t="shared" si="15"/>
        <v>93.888544823364612</v>
      </c>
      <c r="F148" s="49">
        <f t="shared" si="16"/>
        <v>1.9663790578702369</v>
      </c>
      <c r="G148" s="49">
        <f t="shared" si="17"/>
        <v>6.6856887967588055</v>
      </c>
      <c r="H148" s="49">
        <f t="shared" si="18"/>
        <v>6.2924129851847583</v>
      </c>
      <c r="I148" s="49">
        <f t="shared" si="19"/>
        <v>16.491316068906329</v>
      </c>
      <c r="J148" s="49">
        <f t="shared" si="20"/>
        <v>12.383161886582201</v>
      </c>
      <c r="K148" s="49">
        <f t="shared" si="21"/>
        <v>22.023445448146653</v>
      </c>
      <c r="L148" s="49">
        <f t="shared" si="22"/>
        <v>5.5852317796064428</v>
      </c>
      <c r="M148" s="49">
        <f t="shared" si="23"/>
        <v>64.993313074636021</v>
      </c>
      <c r="O148">
        <v>2030</v>
      </c>
      <c r="P148" s="49">
        <v>14.452089172279695</v>
      </c>
      <c r="Q148" s="49">
        <v>1.3822203758603284</v>
      </c>
      <c r="R148" s="49">
        <v>0</v>
      </c>
      <c r="S148" s="49">
        <v>39.516129032258085</v>
      </c>
      <c r="T148" s="49">
        <v>1.6873235280881762</v>
      </c>
      <c r="U148" s="49">
        <v>6.6296237847133863</v>
      </c>
      <c r="V148" s="49">
        <v>14.111800333165192</v>
      </c>
      <c r="W148" s="49">
        <v>10.421163265306129</v>
      </c>
      <c r="X148" s="49">
        <v>7.8251457446808548</v>
      </c>
      <c r="Y148" s="49">
        <v>60.463910597410887</v>
      </c>
      <c r="Z148" s="49">
        <v>8.7146093573599739</v>
      </c>
      <c r="AA148" s="49">
        <v>58.905034897339846</v>
      </c>
    </row>
    <row r="149" spans="1:27">
      <c r="A149">
        <v>2031</v>
      </c>
      <c r="B149" s="49">
        <f t="shared" si="12"/>
        <v>3.0060345478341768</v>
      </c>
      <c r="C149" s="49">
        <f t="shared" si="13"/>
        <v>2.4971414280769424</v>
      </c>
      <c r="D149" s="49">
        <f t="shared" si="14"/>
        <v>10.280229592714095</v>
      </c>
      <c r="E149" s="49">
        <f t="shared" si="15"/>
        <v>101.58227465925245</v>
      </c>
      <c r="F149" s="49">
        <f t="shared" si="16"/>
        <v>2.0809511900641242</v>
      </c>
      <c r="G149" s="49">
        <f t="shared" si="17"/>
        <v>7.0752340462180223</v>
      </c>
      <c r="H149" s="49">
        <f t="shared" si="18"/>
        <v>6.6590438082051975</v>
      </c>
      <c r="I149" s="49">
        <f t="shared" si="19"/>
        <v>17.754342153667405</v>
      </c>
      <c r="J149" s="49">
        <f t="shared" si="20"/>
        <v>13.331555356771128</v>
      </c>
      <c r="K149" s="49">
        <f t="shared" si="21"/>
        <v>23.306653328718191</v>
      </c>
      <c r="L149" s="49">
        <f t="shared" si="22"/>
        <v>5.0819776527009912</v>
      </c>
      <c r="M149" s="49">
        <f t="shared" si="23"/>
        <v>70.476186446401812</v>
      </c>
      <c r="O149">
        <v>2031</v>
      </c>
      <c r="P149" s="49">
        <v>15.030172739170883</v>
      </c>
      <c r="Q149" s="49">
        <v>1.6171978397565838</v>
      </c>
      <c r="R149" s="49">
        <v>0</v>
      </c>
      <c r="S149" s="49">
        <v>40.733430061891319</v>
      </c>
      <c r="T149" s="49">
        <v>1.9741685278631658</v>
      </c>
      <c r="U149" s="49">
        <v>7.7566598281146613</v>
      </c>
      <c r="V149" s="49">
        <v>16.510806389803271</v>
      </c>
      <c r="W149" s="49">
        <v>11.173188433022299</v>
      </c>
      <c r="X149" s="49">
        <v>8.3898338117643352</v>
      </c>
      <c r="Y149" s="49">
        <v>70.742775398970721</v>
      </c>
      <c r="Z149" s="49">
        <v>9.3434840229520226</v>
      </c>
      <c r="AA149" s="49">
        <v>64.088677968305745</v>
      </c>
    </row>
    <row r="150" spans="1:27">
      <c r="A150">
        <v>2032</v>
      </c>
      <c r="B150" s="49">
        <f t="shared" si="12"/>
        <v>3.126275929747544</v>
      </c>
      <c r="C150" s="49">
        <f t="shared" si="13"/>
        <v>2.6426387149094905</v>
      </c>
      <c r="D150" s="49">
        <f t="shared" si="14"/>
        <v>10.310042258532963</v>
      </c>
      <c r="E150" s="49">
        <f t="shared" si="15"/>
        <v>109.90646989322474</v>
      </c>
      <c r="F150" s="49">
        <f t="shared" si="16"/>
        <v>2.2021989290912489</v>
      </c>
      <c r="G150" s="49">
        <f t="shared" si="17"/>
        <v>7.4874763589102464</v>
      </c>
      <c r="H150" s="49">
        <f t="shared" si="18"/>
        <v>7.0470365730919964</v>
      </c>
      <c r="I150" s="49">
        <f t="shared" si="19"/>
        <v>19.114100050742401</v>
      </c>
      <c r="J150" s="49">
        <f t="shared" si="20"/>
        <v>14.35258376321746</v>
      </c>
      <c r="K150" s="49">
        <f t="shared" si="21"/>
        <v>24.664628005821989</v>
      </c>
      <c r="L150" s="49">
        <f t="shared" si="22"/>
        <v>4.6240689521343574</v>
      </c>
      <c r="M150" s="49">
        <f t="shared" si="23"/>
        <v>76.421598177710777</v>
      </c>
      <c r="O150">
        <v>2032</v>
      </c>
      <c r="P150" s="49">
        <v>15.631379648737719</v>
      </c>
      <c r="Q150" s="49">
        <v>1.8921214725152034</v>
      </c>
      <c r="R150" s="49">
        <v>0</v>
      </c>
      <c r="S150" s="49">
        <v>41.988230255360577</v>
      </c>
      <c r="T150" s="49">
        <v>2.3097771775999041</v>
      </c>
      <c r="U150" s="49">
        <v>9.0752919988941549</v>
      </c>
      <c r="V150" s="49">
        <v>19.317643476069829</v>
      </c>
      <c r="W150" s="49">
        <v>11.979482192303607</v>
      </c>
      <c r="X150" s="49">
        <v>8.9952716135506154</v>
      </c>
      <c r="Y150" s="49">
        <v>82.769047216795755</v>
      </c>
      <c r="Z150" s="49">
        <v>10.017740337773075</v>
      </c>
      <c r="AA150" s="49">
        <v>69.728481629516665</v>
      </c>
    </row>
    <row r="151" spans="1:27">
      <c r="A151">
        <v>2033</v>
      </c>
      <c r="B151" s="49">
        <f t="shared" si="12"/>
        <v>3.2513269669374454</v>
      </c>
      <c r="C151" s="49">
        <f t="shared" si="13"/>
        <v>2.7966134793240505</v>
      </c>
      <c r="D151" s="49">
        <f t="shared" si="14"/>
        <v>10.339941381082708</v>
      </c>
      <c r="E151" s="49">
        <f t="shared" si="15"/>
        <v>118.91279423412755</v>
      </c>
      <c r="F151" s="49">
        <f t="shared" si="16"/>
        <v>2.3305112327700495</v>
      </c>
      <c r="G151" s="49">
        <f t="shared" si="17"/>
        <v>7.9237381914181686</v>
      </c>
      <c r="H151" s="49">
        <f t="shared" si="18"/>
        <v>7.4576359448641583</v>
      </c>
      <c r="I151" s="49">
        <f t="shared" si="19"/>
        <v>20.577998192646227</v>
      </c>
      <c r="J151" s="49">
        <f t="shared" si="20"/>
        <v>15.451810022717815</v>
      </c>
      <c r="K151" s="49">
        <f t="shared" si="21"/>
        <v>26.101725807024554</v>
      </c>
      <c r="L151" s="49">
        <f t="shared" si="22"/>
        <v>4.2074198541051695</v>
      </c>
      <c r="M151" s="49">
        <f t="shared" si="23"/>
        <v>82.868568271313791</v>
      </c>
      <c r="O151">
        <v>2033</v>
      </c>
      <c r="P151" s="49">
        <v>16.256634834687226</v>
      </c>
      <c r="Q151" s="49">
        <v>2.2137821228427876</v>
      </c>
      <c r="R151" s="49">
        <v>0</v>
      </c>
      <c r="S151" s="49">
        <v>43.281684780741919</v>
      </c>
      <c r="T151" s="49">
        <v>2.7024392977918876</v>
      </c>
      <c r="U151" s="49">
        <v>10.618091638706161</v>
      </c>
      <c r="V151" s="49">
        <v>22.601642867001697</v>
      </c>
      <c r="W151" s="49">
        <v>12.843960741911607</v>
      </c>
      <c r="X151" s="49">
        <v>9.6443997839491793</v>
      </c>
      <c r="Y151" s="49">
        <v>96.839785243651036</v>
      </c>
      <c r="Z151" s="49">
        <v>10.740653189808654</v>
      </c>
      <c r="AA151" s="49">
        <v>75.864588012914155</v>
      </c>
    </row>
    <row r="152" spans="1:27">
      <c r="A152">
        <v>2034</v>
      </c>
      <c r="B152" s="49">
        <f t="shared" si="12"/>
        <v>3.3813800456149439</v>
      </c>
      <c r="C152" s="49">
        <f t="shared" si="13"/>
        <v>2.9595596661062453</v>
      </c>
      <c r="D152" s="49">
        <f>$D$153/((1+$H$125)^($A$153-A152))</f>
        <v>10.369927211087846</v>
      </c>
      <c r="E152" s="49">
        <f t="shared" si="15"/>
        <v>128.65714499160384</v>
      </c>
      <c r="F152" s="49">
        <f t="shared" si="16"/>
        <v>2.4662997217552132</v>
      </c>
      <c r="G152" s="49">
        <f t="shared" si="17"/>
        <v>8.3854190539677251</v>
      </c>
      <c r="H152" s="49">
        <f t="shared" si="18"/>
        <v>7.8921591096166823</v>
      </c>
      <c r="I152" s="49">
        <f t="shared" si="19"/>
        <v>22.15401240405793</v>
      </c>
      <c r="J152" s="49">
        <f t="shared" si="20"/>
        <v>16.635223101087099</v>
      </c>
      <c r="K152" s="49">
        <f t="shared" si="21"/>
        <v>27.622556883658387</v>
      </c>
      <c r="L152" s="49">
        <f t="shared" si="22"/>
        <v>3.8283126856374787</v>
      </c>
      <c r="M152" s="49">
        <f t="shared" si="23"/>
        <v>89.859408479896075</v>
      </c>
      <c r="O152">
        <v>2034</v>
      </c>
      <c r="P152" s="49">
        <v>16.906900228074718</v>
      </c>
      <c r="Q152" s="49">
        <v>2.5901250837260612</v>
      </c>
      <c r="R152" s="49">
        <v>0</v>
      </c>
      <c r="S152" s="49">
        <v>44.614984391259149</v>
      </c>
      <c r="T152" s="49">
        <v>3.1618539784165081</v>
      </c>
      <c r="U152" s="49">
        <v>12.423167217286204</v>
      </c>
      <c r="V152" s="49">
        <v>26.443922154391981</v>
      </c>
      <c r="W152" s="49">
        <v>13.77082288629739</v>
      </c>
      <c r="X152" s="49">
        <v>10.340371162613991</v>
      </c>
      <c r="Y152" s="49">
        <v>113.30254873507167</v>
      </c>
      <c r="Z152" s="49">
        <v>11.515733793654256</v>
      </c>
      <c r="AA152" s="49">
        <v>82.540671758050593</v>
      </c>
    </row>
    <row r="153" spans="1:27">
      <c r="A153">
        <v>2035</v>
      </c>
      <c r="B153" s="49">
        <f>B$140*(1+$H$123)^($A153-$A$140)</f>
        <v>3.5166352474395417</v>
      </c>
      <c r="C153" s="49">
        <f t="shared" si="13"/>
        <v>3.1319999999999948</v>
      </c>
      <c r="D153" s="49">
        <f>G125</f>
        <v>10.4</v>
      </c>
      <c r="E153" s="49">
        <f t="shared" si="15"/>
        <v>139.20000000000016</v>
      </c>
      <c r="F153" s="49">
        <f t="shared" si="16"/>
        <v>2.6100000000000056</v>
      </c>
      <c r="G153" s="49">
        <f t="shared" si="17"/>
        <v>8.8740000000000201</v>
      </c>
      <c r="H153" s="49">
        <f t="shared" si="18"/>
        <v>8.3520000000000181</v>
      </c>
      <c r="I153" s="49">
        <f t="shared" si="19"/>
        <v>23.850729356879107</v>
      </c>
      <c r="J153" s="49">
        <f t="shared" si="20"/>
        <v>17.909270643120927</v>
      </c>
      <c r="K153" s="49">
        <f t="shared" si="21"/>
        <v>29.232000000000063</v>
      </c>
      <c r="L153" s="49">
        <f t="shared" si="22"/>
        <v>3.4833647525604183</v>
      </c>
      <c r="M153" s="49">
        <f t="shared" si="23"/>
        <v>97.440000000000026</v>
      </c>
      <c r="O153">
        <v>2035</v>
      </c>
      <c r="P153" s="49">
        <v>17.583176237197709</v>
      </c>
      <c r="Q153" s="49">
        <v>3.0304463479594914</v>
      </c>
      <c r="R153" s="49">
        <v>0</v>
      </c>
      <c r="S153" s="49">
        <v>45.989356521490201</v>
      </c>
      <c r="T153" s="49">
        <v>3.6993691547473144</v>
      </c>
      <c r="U153" s="49">
        <v>14.53510564422486</v>
      </c>
      <c r="V153" s="49">
        <v>30.939388920638617</v>
      </c>
      <c r="W153" s="49">
        <v>14.764570429350897</v>
      </c>
      <c r="X153" s="49">
        <v>11.086566108402874</v>
      </c>
      <c r="Y153" s="49">
        <v>132.56398202003385</v>
      </c>
      <c r="Z153" s="49">
        <v>12.346746744615174</v>
      </c>
      <c r="AA153" s="49">
        <v>89.804250872759056</v>
      </c>
    </row>
    <row r="156" spans="1:27">
      <c r="A156" t="s">
        <v>949</v>
      </c>
      <c r="B156" s="1" t="s">
        <v>540</v>
      </c>
      <c r="C156" s="1" t="s">
        <v>541</v>
      </c>
      <c r="D156" s="1" t="s">
        <v>542</v>
      </c>
      <c r="E156" s="1" t="s">
        <v>539</v>
      </c>
      <c r="F156" s="1" t="s">
        <v>543</v>
      </c>
      <c r="G156" s="1" t="s">
        <v>544</v>
      </c>
      <c r="H156" s="1" t="s">
        <v>545</v>
      </c>
      <c r="I156" s="1" t="s">
        <v>546</v>
      </c>
      <c r="J156" s="1" t="s">
        <v>547</v>
      </c>
      <c r="K156" s="1" t="s">
        <v>548</v>
      </c>
      <c r="L156" s="1" t="s">
        <v>449</v>
      </c>
      <c r="M156" s="1" t="s">
        <v>214</v>
      </c>
    </row>
    <row r="157" spans="1:27">
      <c r="A157">
        <v>2022</v>
      </c>
      <c r="B157" s="49">
        <v>30.106979437616658</v>
      </c>
      <c r="C157" s="49">
        <v>32.034007921077105</v>
      </c>
      <c r="D157" s="49">
        <v>24.749198659268622</v>
      </c>
      <c r="E157" s="49">
        <v>23.848394682197828</v>
      </c>
      <c r="F157" s="49">
        <v>28.796533213626173</v>
      </c>
      <c r="G157" s="49">
        <v>32.54430302529498</v>
      </c>
      <c r="H157" s="49">
        <v>33.187770670804113</v>
      </c>
      <c r="I157" s="49">
        <v>27.852150079447078</v>
      </c>
      <c r="J157" s="49">
        <v>25.758508438692495</v>
      </c>
      <c r="K157" s="49">
        <v>28.699458149115941</v>
      </c>
      <c r="L157" s="49">
        <v>28.687407407407406</v>
      </c>
      <c r="M157" s="49">
        <v>28.459262904862317</v>
      </c>
    </row>
    <row r="158" spans="1:27">
      <c r="A158">
        <v>2023</v>
      </c>
      <c r="B158" s="49">
        <f t="shared" ref="B158:C170" si="24">B$157*(1-$K$123)^LOG(B141/B$140,2)</f>
        <v>29.928025531814761</v>
      </c>
      <c r="C158" s="49">
        <f t="shared" si="24"/>
        <v>31.759438473595893</v>
      </c>
      <c r="D158" s="49">
        <v>27.202156083334476</v>
      </c>
      <c r="E158" s="49">
        <f t="shared" ref="E158:M158" si="25">E$157*(1-$K$123)^LOG(E141/E$140,2)</f>
        <v>23.564587142679287</v>
      </c>
      <c r="F158" s="49">
        <f t="shared" si="25"/>
        <v>28.549712764766959</v>
      </c>
      <c r="G158" s="49">
        <f t="shared" si="25"/>
        <v>32.265359743444904</v>
      </c>
      <c r="H158" s="49">
        <f t="shared" si="25"/>
        <v>32.90331210793348</v>
      </c>
      <c r="I158" s="49">
        <f t="shared" si="25"/>
        <v>27.541471390531644</v>
      </c>
      <c r="J158" s="49">
        <f t="shared" si="25"/>
        <v>25.471183416842369</v>
      </c>
      <c r="K158" s="49">
        <f t="shared" si="25"/>
        <v>28.453469748712621</v>
      </c>
      <c r="L158" s="49">
        <f t="shared" si="25"/>
        <v>29.102125706701507</v>
      </c>
      <c r="M158" s="49">
        <f t="shared" si="25"/>
        <v>28.111054260329364</v>
      </c>
    </row>
    <row r="159" spans="1:27">
      <c r="A159">
        <v>2024</v>
      </c>
      <c r="B159" s="49">
        <f t="shared" si="24"/>
        <v>29.750135316260106</v>
      </c>
      <c r="C159" s="49">
        <f t="shared" si="24"/>
        <v>31.487222411981218</v>
      </c>
      <c r="D159" s="49">
        <f>D$157*(1-$K$123)^LOG(D142/D$142,2)</f>
        <v>24.749198659268622</v>
      </c>
      <c r="E159" s="49">
        <f t="shared" ref="E159:M159" si="26">E$157*(1-$K$123)^LOG(E142/E$140,2)</f>
        <v>23.284157051436022</v>
      </c>
      <c r="F159" s="49">
        <f t="shared" si="26"/>
        <v>28.305007859939494</v>
      </c>
      <c r="G159" s="49">
        <f t="shared" si="26"/>
        <v>31.988807336410275</v>
      </c>
      <c r="H159" s="49">
        <f t="shared" si="26"/>
        <v>32.621291692379017</v>
      </c>
      <c r="I159" s="49">
        <f t="shared" si="26"/>
        <v>27.234258188031838</v>
      </c>
      <c r="J159" s="49">
        <f t="shared" si="26"/>
        <v>25.187063381351518</v>
      </c>
      <c r="K159" s="49">
        <f t="shared" si="26"/>
        <v>28.20958976069878</v>
      </c>
      <c r="L159" s="49">
        <f t="shared" si="26"/>
        <v>29.522839363656438</v>
      </c>
      <c r="M159" s="49">
        <f t="shared" si="26"/>
        <v>27.767106065567472</v>
      </c>
    </row>
    <row r="160" spans="1:27">
      <c r="A160">
        <v>2025</v>
      </c>
      <c r="B160" s="49">
        <f t="shared" si="24"/>
        <v>29.573302468447821</v>
      </c>
      <c r="C160" s="49">
        <f t="shared" si="24"/>
        <v>31.217339564924558</v>
      </c>
      <c r="D160" s="49">
        <f t="shared" ref="D160:D170" si="27">D$157*(1-$K$123)^LOG(D143/D$142,2)</f>
        <v>24.738307176210981</v>
      </c>
      <c r="E160" s="49">
        <f t="shared" ref="E160:M160" si="28">E$157*(1-$K$123)^LOG(E143/E$140,2)</f>
        <v>23.007064215184691</v>
      </c>
      <c r="F160" s="49">
        <f t="shared" si="28"/>
        <v>28.062400366421905</v>
      </c>
      <c r="G160" s="49">
        <f t="shared" si="28"/>
        <v>31.714625311557796</v>
      </c>
      <c r="H160" s="49">
        <f t="shared" si="28"/>
        <v>32.34168852632601</v>
      </c>
      <c r="I160" s="49">
        <f t="shared" si="28"/>
        <v>26.930471815945403</v>
      </c>
      <c r="J160" s="49">
        <f t="shared" si="28"/>
        <v>24.906112581983155</v>
      </c>
      <c r="K160" s="49">
        <f t="shared" si="28"/>
        <v>27.967800113479189</v>
      </c>
      <c r="L160" s="49">
        <f t="shared" si="28"/>
        <v>29.94963504990821</v>
      </c>
      <c r="M160" s="49">
        <f t="shared" si="28"/>
        <v>27.427366192542088</v>
      </c>
    </row>
    <row r="161" spans="1:13">
      <c r="A161">
        <v>2026</v>
      </c>
      <c r="B161" s="49">
        <f t="shared" si="24"/>
        <v>29.39752070345358</v>
      </c>
      <c r="C161" s="49">
        <f t="shared" si="24"/>
        <v>30.949769934009435</v>
      </c>
      <c r="D161" s="49">
        <f t="shared" si="27"/>
        <v>24.727420486213706</v>
      </c>
      <c r="E161" s="49">
        <f t="shared" ref="E161:M161" si="29">E$157*(1-$K$123)^LOG(E144/E$140,2)</f>
        <v>22.733268918961638</v>
      </c>
      <c r="F161" s="49">
        <f t="shared" si="29"/>
        <v>27.821872306911267</v>
      </c>
      <c r="G161" s="49">
        <f t="shared" si="29"/>
        <v>31.44279335190036</v>
      </c>
      <c r="H161" s="49">
        <f t="shared" si="29"/>
        <v>32.064481891078842</v>
      </c>
      <c r="I161" s="49">
        <f t="shared" si="29"/>
        <v>26.630074049461083</v>
      </c>
      <c r="J161" s="49">
        <f t="shared" si="29"/>
        <v>24.628295667278945</v>
      </c>
      <c r="K161" s="49">
        <f t="shared" si="29"/>
        <v>27.728082890353623</v>
      </c>
      <c r="L161" s="49">
        <f t="shared" si="29"/>
        <v>30.382600690057679</v>
      </c>
      <c r="M161" s="49">
        <f t="shared" si="29"/>
        <v>27.091783151022685</v>
      </c>
    </row>
    <row r="162" spans="1:13">
      <c r="A162">
        <v>2027</v>
      </c>
      <c r="B162" s="49">
        <f t="shared" si="24"/>
        <v>29.222783773710233</v>
      </c>
      <c r="C162" s="49">
        <f t="shared" si="24"/>
        <v>30.684493692229513</v>
      </c>
      <c r="D162" s="49">
        <f t="shared" si="27"/>
        <v>24.716538587167495</v>
      </c>
      <c r="E162" s="49">
        <f t="shared" ref="E162:M162" si="30">E$157*(1-$K$123)^LOG(E145/E$140,2)</f>
        <v>22.462731920430663</v>
      </c>
      <c r="F162" s="49">
        <f t="shared" si="30"/>
        <v>27.583405858191455</v>
      </c>
      <c r="G162" s="49">
        <f t="shared" si="30"/>
        <v>31.173291314591538</v>
      </c>
      <c r="H162" s="49">
        <f t="shared" si="30"/>
        <v>31.789651245525675</v>
      </c>
      <c r="I162" s="49">
        <f t="shared" si="30"/>
        <v>26.33302709014886</v>
      </c>
      <c r="J162" s="49">
        <f t="shared" si="30"/>
        <v>24.35357768011076</v>
      </c>
      <c r="K162" s="49">
        <f t="shared" si="30"/>
        <v>27.490420328189227</v>
      </c>
      <c r="L162" s="49">
        <f t="shared" si="30"/>
        <v>30.821825479784021</v>
      </c>
      <c r="M162" s="49">
        <f t="shared" si="30"/>
        <v>26.76030608077901</v>
      </c>
    </row>
    <row r="163" spans="1:13">
      <c r="A163">
        <v>2028</v>
      </c>
      <c r="B163" s="49">
        <f t="shared" si="24"/>
        <v>29.049085468785769</v>
      </c>
      <c r="C163" s="49">
        <f t="shared" si="24"/>
        <v>30.421491182519418</v>
      </c>
      <c r="D163" s="49">
        <f t="shared" si="27"/>
        <v>24.705661476963975</v>
      </c>
      <c r="E163" s="49">
        <f t="shared" ref="E163:M163" si="31">E$157*(1-$K$123)^LOG(E146/E$140,2)</f>
        <v>22.195414444258528</v>
      </c>
      <c r="F163" s="49">
        <f t="shared" si="31"/>
        <v>27.346983349812454</v>
      </c>
      <c r="G163" s="49">
        <f t="shared" si="31"/>
        <v>30.906099229432975</v>
      </c>
      <c r="H163" s="49">
        <f t="shared" si="31"/>
        <v>31.517176224616364</v>
      </c>
      <c r="I163" s="49">
        <f t="shared" si="31"/>
        <v>26.039293561203849</v>
      </c>
      <c r="J163" s="49">
        <f t="shared" si="31"/>
        <v>24.081924053282133</v>
      </c>
      <c r="K163" s="49">
        <f t="shared" si="31"/>
        <v>27.254794816104269</v>
      </c>
      <c r="L163" s="49">
        <f t="shared" si="31"/>
        <v>31.267399904219985</v>
      </c>
      <c r="M163" s="49">
        <f t="shared" si="31"/>
        <v>26.432884743872815</v>
      </c>
    </row>
    <row r="164" spans="1:13">
      <c r="A164">
        <v>2029</v>
      </c>
      <c r="B164" s="49">
        <f t="shared" si="24"/>
        <v>28.876419615162565</v>
      </c>
      <c r="C164" s="49">
        <f t="shared" si="24"/>
        <v>30.160742916298158</v>
      </c>
      <c r="D164" s="49">
        <f t="shared" si="27"/>
        <v>24.694789153495702</v>
      </c>
      <c r="E164" s="49">
        <f t="shared" ref="E164:M164" si="32">E$157*(1-$K$123)^LOG(E147/E$140,2)</f>
        <v>21.931278176557395</v>
      </c>
      <c r="F164" s="49">
        <f t="shared" si="32"/>
        <v>27.112587262780973</v>
      </c>
      <c r="G164" s="49">
        <f t="shared" si="32"/>
        <v>30.64119729739463</v>
      </c>
      <c r="H164" s="49">
        <f t="shared" si="32"/>
        <v>31.247036637853409</v>
      </c>
      <c r="I164" s="49">
        <f t="shared" si="32"/>
        <v>25.74883650274327</v>
      </c>
      <c r="J164" s="49">
        <f t="shared" si="32"/>
        <v>23.813300605178728</v>
      </c>
      <c r="K164" s="49">
        <f t="shared" si="32"/>
        <v>27.021188894163171</v>
      </c>
      <c r="L164" s="49">
        <f t="shared" si="32"/>
        <v>31.719415756592841</v>
      </c>
      <c r="M164" s="49">
        <f t="shared" si="32"/>
        <v>26.109469517043898</v>
      </c>
    </row>
    <row r="165" spans="1:13">
      <c r="A165">
        <v>2030</v>
      </c>
      <c r="B165" s="49">
        <f t="shared" si="24"/>
        <v>28.704780076017983</v>
      </c>
      <c r="C165" s="49">
        <f t="shared" si="24"/>
        <v>29.902229572024986</v>
      </c>
      <c r="D165" s="49">
        <f t="shared" si="27"/>
        <v>24.683921614656153</v>
      </c>
      <c r="E165" s="49">
        <f t="shared" ref="E165:M165" si="33">E$157*(1-$K$123)^LOG(E148/E$140,2)</f>
        <v>21.670285259393385</v>
      </c>
      <c r="F165" s="49">
        <f t="shared" si="33"/>
        <v>26.880200228262261</v>
      </c>
      <c r="G165" s="49">
        <f t="shared" si="33"/>
        <v>30.378565889147612</v>
      </c>
      <c r="H165" s="49">
        <f t="shared" si="33"/>
        <v>30.979212467795818</v>
      </c>
      <c r="I165" s="49">
        <f t="shared" si="33"/>
        <v>25.461619367155834</v>
      </c>
      <c r="J165" s="49">
        <f t="shared" si="33"/>
        <v>23.547673535467315</v>
      </c>
      <c r="K165" s="49">
        <f t="shared" si="33"/>
        <v>26.789585252082706</v>
      </c>
      <c r="L165" s="49">
        <f t="shared" si="33"/>
        <v>32.17796615713479</v>
      </c>
      <c r="M165" s="49">
        <f t="shared" si="33"/>
        <v>25.790011384189341</v>
      </c>
    </row>
    <row r="166" spans="1:13">
      <c r="A166">
        <v>2031</v>
      </c>
      <c r="B166" s="49">
        <f t="shared" si="24"/>
        <v>28.534160751006262</v>
      </c>
      <c r="C166" s="49">
        <f t="shared" si="24"/>
        <v>29.645931993767679</v>
      </c>
      <c r="D166" s="49">
        <f t="shared" si="27"/>
        <v>24.67305885833974</v>
      </c>
      <c r="E166" s="49">
        <f t="shared" ref="E166:M166" si="34">E$157*(1-$K$123)^LOG(E149/E$140,2)</f>
        <v>21.412398285360528</v>
      </c>
      <c r="F166" s="49">
        <f t="shared" si="34"/>
        <v>26.649805026293095</v>
      </c>
      <c r="G166" s="49">
        <f t="shared" si="34"/>
        <v>30.118185543609677</v>
      </c>
      <c r="H166" s="49">
        <f t="shared" si="34"/>
        <v>30.713683868575821</v>
      </c>
      <c r="I166" s="49">
        <f t="shared" si="34"/>
        <v>25.17760601450307</v>
      </c>
      <c r="J166" s="49">
        <f t="shared" si="34"/>
        <v>23.28500942084278</v>
      </c>
      <c r="K166" s="49">
        <f t="shared" si="34"/>
        <v>26.559966727949309</v>
      </c>
      <c r="L166" s="49">
        <f t="shared" si="34"/>
        <v>32.643145572266747</v>
      </c>
      <c r="M166" s="49">
        <f t="shared" si="34"/>
        <v>25.474461928934701</v>
      </c>
    </row>
    <row r="167" spans="1:13">
      <c r="A167">
        <v>2032</v>
      </c>
      <c r="B167" s="49">
        <f t="shared" si="24"/>
        <v>28.364555576041692</v>
      </c>
      <c r="C167" s="49">
        <f t="shared" si="24"/>
        <v>29.39183118978309</v>
      </c>
      <c r="D167" s="49">
        <f t="shared" si="27"/>
        <v>24.662200882441795</v>
      </c>
      <c r="E167" s="49">
        <f t="shared" ref="E167:M167" si="35">E$157*(1-$K$123)^LOG(E150/E$140,2)</f>
        <v>21.15758029221923</v>
      </c>
      <c r="F167" s="49">
        <f t="shared" si="35"/>
        <v>26.421384584505763</v>
      </c>
      <c r="G167" s="49">
        <f t="shared" si="35"/>
        <v>29.860036966503142</v>
      </c>
      <c r="H167" s="49">
        <f t="shared" si="35"/>
        <v>30.45043116442827</v>
      </c>
      <c r="I167" s="49">
        <f t="shared" si="35"/>
        <v>24.896760707971875</v>
      </c>
      <c r="J167" s="49">
        <f t="shared" si="35"/>
        <v>23.025275210822521</v>
      </c>
      <c r="K167" s="49">
        <f t="shared" si="35"/>
        <v>26.332316306947376</v>
      </c>
      <c r="L167" s="49">
        <f t="shared" si="35"/>
        <v>33.115049834059484</v>
      </c>
      <c r="M167" s="49">
        <f t="shared" si="35"/>
        <v>25.16277332729614</v>
      </c>
    </row>
    <row r="168" spans="1:13">
      <c r="A168">
        <v>2033</v>
      </c>
      <c r="B168" s="49">
        <f t="shared" si="24"/>
        <v>28.195958523083082</v>
      </c>
      <c r="C168" s="49">
        <f t="shared" si="24"/>
        <v>29.139908331109822</v>
      </c>
      <c r="D168" s="49">
        <f t="shared" si="27"/>
        <v>24.651347684858578</v>
      </c>
      <c r="E168" s="49">
        <f t="shared" ref="E168:M168" si="36">E$157*(1-$K$123)^LOG(E151/E$140,2)</f>
        <v>20.90579475759861</v>
      </c>
      <c r="F168" s="49">
        <f t="shared" si="36"/>
        <v>26.194921976862986</v>
      </c>
      <c r="G168" s="49">
        <f t="shared" si="36"/>
        <v>29.604101028925154</v>
      </c>
      <c r="H168" s="49">
        <f t="shared" si="36"/>
        <v>30.189434848232668</v>
      </c>
      <c r="I168" s="49">
        <f t="shared" si="36"/>
        <v>24.619048109377854</v>
      </c>
      <c r="J168" s="49">
        <f t="shared" si="36"/>
        <v>22.768438223587768</v>
      </c>
      <c r="K168" s="49">
        <f t="shared" si="36"/>
        <v>26.106617120098448</v>
      </c>
      <c r="L168" s="49">
        <f t="shared" si="36"/>
        <v>33.593776159976073</v>
      </c>
      <c r="M168" s="49">
        <f t="shared" si="36"/>
        <v>24.854898340432349</v>
      </c>
    </row>
    <row r="169" spans="1:13">
      <c r="A169">
        <v>2034</v>
      </c>
      <c r="B169" s="49">
        <f t="shared" si="24"/>
        <v>28.02836359991953</v>
      </c>
      <c r="C169" s="49">
        <f t="shared" si="24"/>
        <v>28.890144750173022</v>
      </c>
      <c r="D169" s="49">
        <f>D$157*(1-$K$123)^LOG(D152/D$142,2)</f>
        <v>24.640499263487285</v>
      </c>
      <c r="E169" s="49">
        <f t="shared" ref="E169:M169" si="37">E$157*(1-$K$123)^LOG(E152/E$140,2)</f>
        <v>20.65700559376182</v>
      </c>
      <c r="F169" s="49">
        <f t="shared" si="37"/>
        <v>25.970400422403713</v>
      </c>
      <c r="G169" s="49">
        <f t="shared" si="37"/>
        <v>29.350358765930274</v>
      </c>
      <c r="H169" s="49">
        <f t="shared" si="37"/>
        <v>29.930675580067678</v>
      </c>
      <c r="I169" s="49">
        <f t="shared" si="37"/>
        <v>24.344433274718767</v>
      </c>
      <c r="J169" s="49">
        <f t="shared" si="37"/>
        <v>22.514466141871313</v>
      </c>
      <c r="K169" s="49">
        <f t="shared" si="37"/>
        <v>25.882852443011235</v>
      </c>
      <c r="L169" s="49">
        <f t="shared" si="37"/>
        <v>34.079423172899759</v>
      </c>
      <c r="M169" s="49">
        <f t="shared" si="37"/>
        <v>24.550790307485105</v>
      </c>
    </row>
    <row r="170" spans="1:13">
      <c r="A170">
        <v>2035</v>
      </c>
      <c r="B170" s="49">
        <f>B$157*(1-$K$123)^LOG(B153/B$140,2)</f>
        <v>27.861764849957439</v>
      </c>
      <c r="C170" s="49">
        <f t="shared" si="24"/>
        <v>28.642521939401092</v>
      </c>
      <c r="D170" s="49">
        <f t="shared" si="27"/>
        <v>24.629655616226021</v>
      </c>
      <c r="E170" s="49">
        <f t="shared" ref="E170:M170" si="38">E$157*(1-$K$123)^LOG(E153/E$140,2)</f>
        <v>20.411177142433708</v>
      </c>
      <c r="F170" s="49">
        <f t="shared" si="38"/>
        <v>25.747803283999634</v>
      </c>
      <c r="G170" s="49">
        <f t="shared" si="38"/>
        <v>29.098791375125121</v>
      </c>
      <c r="H170" s="49">
        <f t="shared" si="38"/>
        <v>29.67413418577803</v>
      </c>
      <c r="I170" s="49">
        <f t="shared" si="38"/>
        <v>24.072881649777607</v>
      </c>
      <c r="J170" s="49">
        <f t="shared" si="38"/>
        <v>22.263327008891089</v>
      </c>
      <c r="K170" s="49">
        <f t="shared" si="38"/>
        <v>25.661005694642306</v>
      </c>
      <c r="L170" s="49">
        <f t="shared" si="38"/>
        <v>34.57209092145132</v>
      </c>
      <c r="M170" s="49">
        <f t="shared" si="38"/>
        <v>24.250403138507458</v>
      </c>
    </row>
    <row r="172" spans="1:13">
      <c r="A172" t="s">
        <v>950</v>
      </c>
      <c r="B172" s="1" t="s">
        <v>540</v>
      </c>
      <c r="C172" s="1" t="s">
        <v>541</v>
      </c>
      <c r="D172" s="1" t="s">
        <v>542</v>
      </c>
      <c r="E172" s="1" t="s">
        <v>539</v>
      </c>
      <c r="F172" s="1" t="s">
        <v>543</v>
      </c>
      <c r="G172" s="1" t="s">
        <v>544</v>
      </c>
      <c r="H172" s="1" t="s">
        <v>545</v>
      </c>
      <c r="I172" s="1" t="s">
        <v>546</v>
      </c>
      <c r="J172" s="1" t="s">
        <v>547</v>
      </c>
      <c r="K172" s="1" t="s">
        <v>548</v>
      </c>
      <c r="L172" s="1" t="s">
        <v>449</v>
      </c>
      <c r="M172" s="1" t="s">
        <v>214</v>
      </c>
    </row>
    <row r="173" spans="1:13">
      <c r="A173">
        <v>2022</v>
      </c>
      <c r="B173" s="49">
        <v>30.106979437616658</v>
      </c>
      <c r="C173" s="49">
        <v>32.034007921077105</v>
      </c>
      <c r="D173" s="49">
        <v>24.749198659268622</v>
      </c>
      <c r="E173" s="49">
        <v>23.848394682197828</v>
      </c>
      <c r="F173" s="49">
        <v>28.796533213626173</v>
      </c>
      <c r="G173" s="49">
        <v>32.54430302529498</v>
      </c>
      <c r="H173" s="49">
        <v>33.187770670804113</v>
      </c>
      <c r="I173" s="49">
        <v>27.852150079447078</v>
      </c>
      <c r="J173" s="49">
        <v>25.758508438692495</v>
      </c>
      <c r="K173" s="49">
        <v>28.699458149115941</v>
      </c>
      <c r="L173" s="49">
        <v>28.687407407407406</v>
      </c>
      <c r="M173" s="49">
        <v>28.459262904862317</v>
      </c>
    </row>
    <row r="174" spans="1:13">
      <c r="A174">
        <v>2023</v>
      </c>
      <c r="B174" s="49">
        <f>B$157*(1-$K$126)^LOG(B141/B$140,2)</f>
        <v>29.928025531814761</v>
      </c>
      <c r="C174" s="49">
        <f>C$157*(1-$K$124)^LOG(C141/C$140,2)</f>
        <v>31.455280962667374</v>
      </c>
      <c r="D174" s="49">
        <v>27.202156083334501</v>
      </c>
      <c r="E174" s="49">
        <f>E$157*(1-$K$125)^LOG(E141/E$140,2)</f>
        <v>23.564587142679287</v>
      </c>
      <c r="F174" s="49">
        <f>F$157*(1-$K$124)^LOG(F141/F$140,2)</f>
        <v>28.276294531019694</v>
      </c>
      <c r="G174" s="49">
        <f t="shared" ref="G174:H174" si="39">G$157*(1-$K$124)^LOG(G141/G$140,2)</f>
        <v>31.956357066431636</v>
      </c>
      <c r="H174" s="49">
        <f t="shared" si="39"/>
        <v>32.588199813981142</v>
      </c>
      <c r="I174" s="49">
        <f>I$157*(1-$K$126)^LOG(I141/I$140,2)</f>
        <v>27.541471390531644</v>
      </c>
      <c r="J174" s="49">
        <f>J$157*(1-$K$126)^LOG(J141/J$140,2)</f>
        <v>25.471183416842369</v>
      </c>
      <c r="K174" s="49">
        <f>K$157*(1-$K$124)^LOG(K141/K$140,2)</f>
        <v>28.18097322635618</v>
      </c>
      <c r="L174" s="49">
        <f>L$157*(1-$K$123)^LOG(L141/L$140,2)</f>
        <v>29.102125706701507</v>
      </c>
      <c r="M174" s="49">
        <f>M$157*(1-$K$127)^LOG(M141/M$140,2)</f>
        <v>27.726831237056899</v>
      </c>
    </row>
    <row r="175" spans="1:13">
      <c r="A175">
        <v>2024</v>
      </c>
      <c r="B175" s="49">
        <f t="shared" ref="B175:B185" si="40">B$157*(1-$K$126)^LOG(B142/B$140,2)</f>
        <v>29.750135316260106</v>
      </c>
      <c r="C175" s="49">
        <f t="shared" ref="C175:C186" si="41">C$157*(1-$K$124)^LOG(C142/C$140,2)</f>
        <v>30.887009295809531</v>
      </c>
      <c r="D175" s="49">
        <f>D$157*(1-$K$128)^LOG(D142/D$142,2)</f>
        <v>24.749198659268622</v>
      </c>
      <c r="E175" s="49">
        <f t="shared" ref="E175:E186" si="42">E$157*(1-$K$125)^LOG(E142/E$140,2)</f>
        <v>23.284157051436022</v>
      </c>
      <c r="F175" s="49">
        <f t="shared" ref="F175:H186" si="43">F$157*(1-$K$124)^LOG(F142/F$140,2)</f>
        <v>27.765454489731329</v>
      </c>
      <c r="G175" s="49">
        <f t="shared" si="43"/>
        <v>31.379032949746787</v>
      </c>
      <c r="H175" s="49">
        <f t="shared" si="43"/>
        <v>31.999460814950517</v>
      </c>
      <c r="I175" s="49">
        <f t="shared" ref="I175:J186" si="44">I$157*(1-$K$126)^LOG(I142/I$140,2)</f>
        <v>27.234258188031838</v>
      </c>
      <c r="J175" s="49">
        <f t="shared" si="44"/>
        <v>25.187063381351518</v>
      </c>
      <c r="K175" s="49">
        <f t="shared" ref="K175:K186" si="45">K$157*(1-$K$124)^LOG(K142/K$140,2)</f>
        <v>27.671855261457864</v>
      </c>
      <c r="L175" s="49">
        <f t="shared" ref="L175:L186" si="46">L$157*(1-$K$123)^LOG(L142/L$140,2)</f>
        <v>29.522839363656438</v>
      </c>
      <c r="M175" s="49">
        <f t="shared" ref="M175:M186" si="47">M$157*(1-$K$127)^LOG(M142/M$140,2)</f>
        <v>27.013249535598028</v>
      </c>
    </row>
    <row r="176" spans="1:13">
      <c r="A176">
        <v>2025</v>
      </c>
      <c r="B176" s="49">
        <f t="shared" si="40"/>
        <v>29.573302468447821</v>
      </c>
      <c r="C176" s="49">
        <f t="shared" si="41"/>
        <v>30.329004035019921</v>
      </c>
      <c r="D176" s="49">
        <f t="shared" ref="D176:D186" si="48">D$157*(1-$K$128)^LOG(D143/D$142,2)</f>
        <v>24.747109863612021</v>
      </c>
      <c r="E176" s="49">
        <f t="shared" si="42"/>
        <v>23.007064215184691</v>
      </c>
      <c r="F176" s="49">
        <f t="shared" si="43"/>
        <v>27.263843293739409</v>
      </c>
      <c r="G176" s="49">
        <f t="shared" si="43"/>
        <v>30.812138780850198</v>
      </c>
      <c r="H176" s="49">
        <f t="shared" si="43"/>
        <v>31.421357985176193</v>
      </c>
      <c r="I176" s="49">
        <f t="shared" si="44"/>
        <v>26.930471815945403</v>
      </c>
      <c r="J176" s="49">
        <f t="shared" si="44"/>
        <v>24.906112581983155</v>
      </c>
      <c r="K176" s="49">
        <f t="shared" si="45"/>
        <v>27.171935030793222</v>
      </c>
      <c r="L176" s="49">
        <f t="shared" si="46"/>
        <v>29.94963504990821</v>
      </c>
      <c r="M176" s="49">
        <f t="shared" si="47"/>
        <v>26.318032675050958</v>
      </c>
    </row>
    <row r="177" spans="1:13">
      <c r="A177">
        <v>2026</v>
      </c>
      <c r="B177" s="49">
        <f t="shared" si="40"/>
        <v>29.39752070345358</v>
      </c>
      <c r="C177" s="49">
        <f t="shared" si="41"/>
        <v>29.781079707223437</v>
      </c>
      <c r="D177" s="49">
        <f t="shared" si="48"/>
        <v>24.745021244246683</v>
      </c>
      <c r="E177" s="49">
        <f t="shared" si="42"/>
        <v>22.733268918961638</v>
      </c>
      <c r="F177" s="49">
        <f t="shared" si="43"/>
        <v>26.771294214560221</v>
      </c>
      <c r="G177" s="49">
        <f t="shared" si="43"/>
        <v>30.255486132119117</v>
      </c>
      <c r="H177" s="49">
        <f t="shared" si="43"/>
        <v>30.853699171434698</v>
      </c>
      <c r="I177" s="49">
        <f t="shared" si="44"/>
        <v>26.630074049461083</v>
      </c>
      <c r="J177" s="49">
        <f t="shared" si="44"/>
        <v>24.628295667278945</v>
      </c>
      <c r="K177" s="49">
        <f t="shared" si="45"/>
        <v>26.68104636793155</v>
      </c>
      <c r="L177" s="49">
        <f t="shared" si="46"/>
        <v>30.382600690057679</v>
      </c>
      <c r="M177" s="49">
        <f t="shared" si="47"/>
        <v>25.640708015238644</v>
      </c>
    </row>
    <row r="178" spans="1:13">
      <c r="A178">
        <v>2027</v>
      </c>
      <c r="B178" s="49">
        <f t="shared" si="40"/>
        <v>29.222783773710233</v>
      </c>
      <c r="C178" s="49">
        <f t="shared" si="41"/>
        <v>29.243054190104829</v>
      </c>
      <c r="D178" s="49">
        <f t="shared" si="48"/>
        <v>24.742932801157714</v>
      </c>
      <c r="E178" s="49">
        <f t="shared" si="42"/>
        <v>22.462731920430663</v>
      </c>
      <c r="F178" s="49">
        <f t="shared" si="43"/>
        <v>26.287643535829805</v>
      </c>
      <c r="G178" s="49">
        <f t="shared" si="43"/>
        <v>29.708889980067582</v>
      </c>
      <c r="H178" s="49">
        <f t="shared" si="43"/>
        <v>30.29629569194611</v>
      </c>
      <c r="I178" s="49">
        <f t="shared" si="44"/>
        <v>26.33302709014886</v>
      </c>
      <c r="J178" s="49">
        <f t="shared" si="44"/>
        <v>24.35357768011076</v>
      </c>
      <c r="K178" s="49">
        <f t="shared" si="45"/>
        <v>26.199026108407843</v>
      </c>
      <c r="L178" s="49">
        <f t="shared" si="46"/>
        <v>30.821825479784021</v>
      </c>
      <c r="M178" s="49">
        <f t="shared" si="47"/>
        <v>24.980815079919356</v>
      </c>
    </row>
    <row r="179" spans="1:13">
      <c r="A179">
        <v>2028</v>
      </c>
      <c r="B179" s="49">
        <f t="shared" si="40"/>
        <v>29.049085468785769</v>
      </c>
      <c r="C179" s="49">
        <f t="shared" si="41"/>
        <v>28.714748651573849</v>
      </c>
      <c r="D179" s="49">
        <f t="shared" si="48"/>
        <v>24.740844534330247</v>
      </c>
      <c r="E179" s="49">
        <f t="shared" si="42"/>
        <v>22.195414444258528</v>
      </c>
      <c r="F179" s="49">
        <f t="shared" si="43"/>
        <v>25.812730498886953</v>
      </c>
      <c r="G179" s="49">
        <f t="shared" si="43"/>
        <v>29.172168643847225</v>
      </c>
      <c r="H179" s="49">
        <f t="shared" si="43"/>
        <v>29.748962273658925</v>
      </c>
      <c r="I179" s="49">
        <f t="shared" si="44"/>
        <v>26.039293561203849</v>
      </c>
      <c r="J179" s="49">
        <f t="shared" si="44"/>
        <v>24.081924053282133</v>
      </c>
      <c r="K179" s="49">
        <f t="shared" si="45"/>
        <v>25.725714035489233</v>
      </c>
      <c r="L179" s="49">
        <f t="shared" si="46"/>
        <v>31.267399904219985</v>
      </c>
      <c r="M179" s="49">
        <f t="shared" si="47"/>
        <v>24.337905243733893</v>
      </c>
    </row>
    <row r="180" spans="1:13">
      <c r="A180">
        <v>2029</v>
      </c>
      <c r="B180" s="49">
        <f t="shared" si="40"/>
        <v>28.876419615162565</v>
      </c>
      <c r="C180" s="49">
        <f t="shared" si="41"/>
        <v>28.19598749032399</v>
      </c>
      <c r="D180" s="49">
        <f t="shared" si="48"/>
        <v>24.738756443749402</v>
      </c>
      <c r="E180" s="49">
        <f t="shared" si="42"/>
        <v>21.931278176557395</v>
      </c>
      <c r="F180" s="49">
        <f t="shared" si="43"/>
        <v>25.346397249339308</v>
      </c>
      <c r="G180" s="49">
        <f t="shared" si="43"/>
        <v>28.645143724859139</v>
      </c>
      <c r="H180" s="49">
        <f t="shared" si="43"/>
        <v>29.211516990667889</v>
      </c>
      <c r="I180" s="49">
        <f t="shared" si="44"/>
        <v>25.74883650274327</v>
      </c>
      <c r="J180" s="49">
        <f t="shared" si="44"/>
        <v>23.813300605178728</v>
      </c>
      <c r="K180" s="49">
        <f t="shared" si="45"/>
        <v>25.260952826921219</v>
      </c>
      <c r="L180" s="49">
        <f t="shared" si="46"/>
        <v>31.719415756592841</v>
      </c>
      <c r="M180" s="49">
        <f t="shared" si="47"/>
        <v>23.711541427209582</v>
      </c>
    </row>
    <row r="181" spans="1:13">
      <c r="A181">
        <v>2030</v>
      </c>
      <c r="B181" s="49">
        <f t="shared" si="40"/>
        <v>28.704780076017983</v>
      </c>
      <c r="C181" s="49">
        <f t="shared" si="41"/>
        <v>27.686598277465066</v>
      </c>
      <c r="D181" s="49">
        <f t="shared" si="48"/>
        <v>24.736668529400305</v>
      </c>
      <c r="E181" s="49">
        <f t="shared" si="42"/>
        <v>21.670285259393385</v>
      </c>
      <c r="F181" s="49">
        <f t="shared" si="43"/>
        <v>24.888488784594763</v>
      </c>
      <c r="G181" s="49">
        <f t="shared" si="43"/>
        <v>28.127640047456666</v>
      </c>
      <c r="H181" s="49">
        <f t="shared" si="43"/>
        <v>28.683781203744381</v>
      </c>
      <c r="I181" s="49">
        <f t="shared" si="44"/>
        <v>25.461619367155834</v>
      </c>
      <c r="J181" s="49">
        <f t="shared" si="44"/>
        <v>23.547673535467315</v>
      </c>
      <c r="K181" s="49">
        <f t="shared" si="45"/>
        <v>24.804588002635931</v>
      </c>
      <c r="L181" s="49">
        <f t="shared" si="46"/>
        <v>32.17796615713479</v>
      </c>
      <c r="M181" s="49">
        <f t="shared" si="47"/>
        <v>23.101297799613686</v>
      </c>
    </row>
    <row r="182" spans="1:13">
      <c r="A182">
        <v>2031</v>
      </c>
      <c r="B182" s="49">
        <f t="shared" si="40"/>
        <v>28.534160751006262</v>
      </c>
      <c r="C182" s="49">
        <f t="shared" si="41"/>
        <v>27.186411699210307</v>
      </c>
      <c r="D182" s="49">
        <f t="shared" si="48"/>
        <v>24.734580791268083</v>
      </c>
      <c r="E182" s="49">
        <f t="shared" si="42"/>
        <v>21.412398285360528</v>
      </c>
      <c r="F182" s="49">
        <f t="shared" si="43"/>
        <v>24.43885290234082</v>
      </c>
      <c r="G182" s="49">
        <f t="shared" si="43"/>
        <v>27.619485600719514</v>
      </c>
      <c r="H182" s="49">
        <f t="shared" si="43"/>
        <v>28.165579500959289</v>
      </c>
      <c r="I182" s="49">
        <f t="shared" si="44"/>
        <v>25.17760601450307</v>
      </c>
      <c r="J182" s="49">
        <f t="shared" si="44"/>
        <v>23.28500942084278</v>
      </c>
      <c r="K182" s="49">
        <f t="shared" si="45"/>
        <v>24.356467873405176</v>
      </c>
      <c r="L182" s="49">
        <f t="shared" si="46"/>
        <v>32.643145572266747</v>
      </c>
      <c r="M182" s="49">
        <f t="shared" si="47"/>
        <v>22.506759489454229</v>
      </c>
    </row>
    <row r="183" spans="1:13">
      <c r="A183">
        <v>2032</v>
      </c>
      <c r="B183" s="49">
        <f t="shared" si="40"/>
        <v>28.364555576041692</v>
      </c>
      <c r="C183" s="49">
        <f t="shared" si="41"/>
        <v>26.695261500598829</v>
      </c>
      <c r="D183" s="49">
        <f t="shared" si="48"/>
        <v>24.732493229337862</v>
      </c>
      <c r="E183" s="49">
        <f t="shared" si="42"/>
        <v>21.15758029221923</v>
      </c>
      <c r="F183" s="49">
        <f t="shared" si="43"/>
        <v>23.99734014995467</v>
      </c>
      <c r="G183" s="49">
        <f t="shared" si="43"/>
        <v>27.120511481279756</v>
      </c>
      <c r="H183" s="49">
        <f t="shared" si="43"/>
        <v>27.656739639378536</v>
      </c>
      <c r="I183" s="49">
        <f t="shared" si="44"/>
        <v>24.896760707971875</v>
      </c>
      <c r="J183" s="49">
        <f t="shared" si="44"/>
        <v>23.025275210822521</v>
      </c>
      <c r="K183" s="49">
        <f t="shared" si="45"/>
        <v>23.916443490421067</v>
      </c>
      <c r="L183" s="49">
        <f t="shared" si="46"/>
        <v>33.115049834059484</v>
      </c>
      <c r="M183" s="49">
        <f t="shared" si="47"/>
        <v>21.92752230243137</v>
      </c>
    </row>
    <row r="184" spans="1:13">
      <c r="A184">
        <v>2033</v>
      </c>
      <c r="B184" s="49">
        <f t="shared" si="40"/>
        <v>28.195958523083082</v>
      </c>
      <c r="C184" s="49">
        <f t="shared" si="41"/>
        <v>26.21298443023484</v>
      </c>
      <c r="D184" s="49">
        <f t="shared" si="48"/>
        <v>24.73040584359477</v>
      </c>
      <c r="E184" s="49">
        <f t="shared" si="42"/>
        <v>20.90579475759861</v>
      </c>
      <c r="F184" s="49">
        <f t="shared" si="43"/>
        <v>23.563803774827242</v>
      </c>
      <c r="G184" s="49">
        <f t="shared" si="43"/>
        <v>26.6305518371807</v>
      </c>
      <c r="H184" s="49">
        <f t="shared" si="43"/>
        <v>27.157092487811955</v>
      </c>
      <c r="I184" s="49">
        <f t="shared" si="44"/>
        <v>24.619048109377854</v>
      </c>
      <c r="J184" s="49">
        <f t="shared" si="44"/>
        <v>22.768438223587768</v>
      </c>
      <c r="K184" s="49">
        <f t="shared" si="45"/>
        <v>23.484368595787519</v>
      </c>
      <c r="L184" s="49">
        <f t="shared" si="46"/>
        <v>33.593776159976073</v>
      </c>
      <c r="M184" s="49">
        <f t="shared" si="47"/>
        <v>21.363192446647705</v>
      </c>
    </row>
    <row r="185" spans="1:13">
      <c r="A185">
        <v>2034</v>
      </c>
      <c r="B185" s="49">
        <f t="shared" si="40"/>
        <v>28.02836359991953</v>
      </c>
      <c r="C185" s="49">
        <f t="shared" si="41"/>
        <v>25.739420186025171</v>
      </c>
      <c r="D185" s="49">
        <f t="shared" si="48"/>
        <v>24.728318634023942</v>
      </c>
      <c r="E185" s="49">
        <f t="shared" si="42"/>
        <v>20.65700559376182</v>
      </c>
      <c r="F185" s="49">
        <f t="shared" si="43"/>
        <v>23.138099675584733</v>
      </c>
      <c r="G185" s="49">
        <f t="shared" si="43"/>
        <v>26.149443812750079</v>
      </c>
      <c r="H185" s="49">
        <f t="shared" si="43"/>
        <v>26.66647197059649</v>
      </c>
      <c r="I185" s="49">
        <f t="shared" si="44"/>
        <v>24.344433274718767</v>
      </c>
      <c r="J185" s="49">
        <f t="shared" si="44"/>
        <v>22.514466141871313</v>
      </c>
      <c r="K185" s="49">
        <f t="shared" si="45"/>
        <v>23.060099573906221</v>
      </c>
      <c r="L185" s="49">
        <f t="shared" si="46"/>
        <v>34.079423172899759</v>
      </c>
      <c r="M185" s="49">
        <f t="shared" si="47"/>
        <v>20.813386264890518</v>
      </c>
    </row>
    <row r="186" spans="1:13">
      <c r="A186">
        <v>2035</v>
      </c>
      <c r="B186" s="49">
        <f>B$157*(1-$K$126)^LOG(B153/B$140,2)</f>
        <v>27.861764849957439</v>
      </c>
      <c r="C186" s="49">
        <f t="shared" si="41"/>
        <v>25.274411361897133</v>
      </c>
      <c r="D186" s="49">
        <f t="shared" si="48"/>
        <v>24.7262316006105</v>
      </c>
      <c r="E186" s="49">
        <f t="shared" si="42"/>
        <v>20.411177142433708</v>
      </c>
      <c r="F186" s="49">
        <f t="shared" si="43"/>
        <v>22.72008635419132</v>
      </c>
      <c r="G186" s="49">
        <f t="shared" si="43"/>
        <v>25.677027494469097</v>
      </c>
      <c r="H186" s="49">
        <f>H$157*(1-$K$124)^LOG(H153/H$140,2)</f>
        <v>26.184715012394964</v>
      </c>
      <c r="I186" s="49">
        <f t="shared" si="44"/>
        <v>24.072881649777607</v>
      </c>
      <c r="J186" s="49">
        <f t="shared" si="44"/>
        <v>22.263327008891089</v>
      </c>
      <c r="K186" s="49">
        <f t="shared" si="45"/>
        <v>22.643495403740815</v>
      </c>
      <c r="L186" s="49">
        <f t="shared" si="46"/>
        <v>34.57209092145132</v>
      </c>
      <c r="M186" s="49">
        <f t="shared" si="47"/>
        <v>20.277729973804089</v>
      </c>
    </row>
  </sheetData>
  <phoneticPr fontId="2" type="noConversion"/>
  <hyperlinks>
    <hyperlink ref="I73" r:id="rId1" xr:uid="{BA54D2F3-5B0C-8C4F-BEC5-C32BF15D0A6A}"/>
    <hyperlink ref="I68" r:id="rId2" xr:uid="{BFCF62CF-2F95-5B43-A172-A5E326266A77}"/>
    <hyperlink ref="J73" r:id="rId3" xr:uid="{CC9418A2-A746-4C42-8EA2-477E3BB48ABD}"/>
  </hyperlinks>
  <pageMargins left="0.7" right="0.7" top="0.78740157499999996" bottom="0.78740157499999996" header="0.3" footer="0.3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FB5B-CE78-9045-A86A-E1E209154242}">
  <dimension ref="A1:U49"/>
  <sheetViews>
    <sheetView topLeftCell="A7" workbookViewId="0">
      <selection activeCell="A30" sqref="A30:E39"/>
    </sheetView>
  </sheetViews>
  <sheetFormatPr baseColWidth="10" defaultRowHeight="16"/>
  <cols>
    <col min="1" max="1" width="34.6640625" customWidth="1"/>
    <col min="2" max="2" width="33" bestFit="1" customWidth="1"/>
    <col min="7" max="7" width="14.5" bestFit="1" customWidth="1"/>
    <col min="8" max="8" width="13" bestFit="1" customWidth="1"/>
    <col min="11" max="11" width="14.5" bestFit="1" customWidth="1"/>
  </cols>
  <sheetData>
    <row r="1" spans="1:21">
      <c r="A1" t="s">
        <v>608</v>
      </c>
      <c r="U1" t="s">
        <v>612</v>
      </c>
    </row>
    <row r="3" spans="1:21" ht="19">
      <c r="A3" s="17" t="s">
        <v>20</v>
      </c>
      <c r="B3" t="s">
        <v>70</v>
      </c>
      <c r="E3" t="s">
        <v>609</v>
      </c>
    </row>
    <row r="4" spans="1:21">
      <c r="A4" s="2" t="s">
        <v>21</v>
      </c>
      <c r="B4" s="2"/>
      <c r="C4" s="2"/>
    </row>
    <row r="5" spans="1:21">
      <c r="A5" t="s">
        <v>22</v>
      </c>
      <c r="B5" s="14"/>
      <c r="C5" s="14"/>
    </row>
    <row r="6" spans="1:21" ht="17" thickBot="1">
      <c r="A6" s="16" t="s">
        <v>23</v>
      </c>
      <c r="B6" s="15" t="s">
        <v>24</v>
      </c>
      <c r="C6" s="15" t="s">
        <v>25</v>
      </c>
      <c r="D6" s="16" t="s">
        <v>26</v>
      </c>
      <c r="F6" s="1" t="s">
        <v>71</v>
      </c>
      <c r="G6" s="1" t="s">
        <v>97</v>
      </c>
    </row>
    <row r="7" spans="1:21">
      <c r="A7" t="s">
        <v>29</v>
      </c>
      <c r="B7" s="14" t="s">
        <v>30</v>
      </c>
      <c r="C7" s="14">
        <v>32</v>
      </c>
      <c r="D7" t="s">
        <v>31</v>
      </c>
      <c r="E7" t="s">
        <v>610</v>
      </c>
      <c r="F7" s="139" t="s">
        <v>72</v>
      </c>
      <c r="G7" s="141" t="s">
        <v>23</v>
      </c>
      <c r="H7" s="4" t="s">
        <v>25</v>
      </c>
      <c r="I7" s="4" t="s">
        <v>74</v>
      </c>
    </row>
    <row r="8" spans="1:21" ht="17" thickBot="1">
      <c r="A8" t="s">
        <v>33</v>
      </c>
      <c r="B8" s="14" t="s">
        <v>34</v>
      </c>
      <c r="C8" s="14">
        <v>120</v>
      </c>
      <c r="D8" t="s">
        <v>31</v>
      </c>
      <c r="F8" s="140"/>
      <c r="G8" s="142"/>
      <c r="H8" s="5" t="s">
        <v>73</v>
      </c>
      <c r="I8" s="5" t="s">
        <v>75</v>
      </c>
    </row>
    <row r="9" spans="1:21">
      <c r="A9" t="s">
        <v>36</v>
      </c>
      <c r="B9" s="14" t="s">
        <v>37</v>
      </c>
      <c r="C9" s="14">
        <v>35.200000000000003</v>
      </c>
      <c r="D9" t="s">
        <v>31</v>
      </c>
      <c r="F9" s="6" t="s">
        <v>76</v>
      </c>
      <c r="G9" s="6" t="s">
        <v>77</v>
      </c>
      <c r="H9" s="3">
        <v>4.8</v>
      </c>
      <c r="I9" s="3">
        <v>20.239999999999998</v>
      </c>
    </row>
    <row r="10" spans="1:21">
      <c r="A10" t="s">
        <v>40</v>
      </c>
      <c r="B10" s="14" t="s">
        <v>41</v>
      </c>
      <c r="C10" s="14">
        <v>16</v>
      </c>
      <c r="D10" t="s">
        <v>31</v>
      </c>
      <c r="F10" s="6" t="s">
        <v>78</v>
      </c>
      <c r="G10" s="6" t="s">
        <v>79</v>
      </c>
      <c r="H10" s="3">
        <v>5.13</v>
      </c>
      <c r="I10" s="3">
        <v>21.64</v>
      </c>
    </row>
    <row r="11" spans="1:21">
      <c r="A11" t="s">
        <v>43</v>
      </c>
      <c r="B11" s="14" t="s">
        <v>44</v>
      </c>
      <c r="C11" s="14">
        <v>1.6</v>
      </c>
      <c r="D11" t="s">
        <v>31</v>
      </c>
      <c r="F11" s="6" t="s">
        <v>80</v>
      </c>
      <c r="G11" s="6" t="s">
        <v>81</v>
      </c>
      <c r="H11" s="3">
        <v>0.56000000000000005</v>
      </c>
      <c r="I11" s="3">
        <v>2.36</v>
      </c>
    </row>
    <row r="12" spans="1:21">
      <c r="A12" t="s">
        <v>45</v>
      </c>
      <c r="B12" s="14" t="s">
        <v>46</v>
      </c>
      <c r="C12" s="14">
        <v>2.7</v>
      </c>
      <c r="D12" t="s">
        <v>31</v>
      </c>
      <c r="F12" s="6" t="s">
        <v>82</v>
      </c>
      <c r="G12" s="6" t="s">
        <v>83</v>
      </c>
      <c r="H12" s="3">
        <v>0.19</v>
      </c>
      <c r="I12" s="3">
        <v>0.8</v>
      </c>
    </row>
    <row r="13" spans="1:21">
      <c r="A13" t="s">
        <v>47</v>
      </c>
      <c r="B13" s="14" t="s">
        <v>37</v>
      </c>
      <c r="C13" s="14">
        <v>1.4</v>
      </c>
      <c r="D13" t="s">
        <v>31</v>
      </c>
      <c r="F13" s="6" t="s">
        <v>84</v>
      </c>
      <c r="G13" s="6" t="s">
        <v>85</v>
      </c>
      <c r="H13" s="3">
        <v>7.8</v>
      </c>
      <c r="I13" s="3">
        <v>32.9</v>
      </c>
    </row>
    <row r="14" spans="1:21">
      <c r="A14" t="s">
        <v>38</v>
      </c>
      <c r="B14" s="14" t="s">
        <v>48</v>
      </c>
      <c r="C14" s="14">
        <v>0.5</v>
      </c>
      <c r="D14" t="s">
        <v>31</v>
      </c>
      <c r="F14" s="6" t="s">
        <v>86</v>
      </c>
      <c r="G14" s="6" t="s">
        <v>87</v>
      </c>
      <c r="H14" s="3">
        <v>2.2599999999999998</v>
      </c>
      <c r="I14" s="3">
        <v>9.5299999999999994</v>
      </c>
    </row>
    <row r="15" spans="1:21">
      <c r="A15" t="s">
        <v>49</v>
      </c>
      <c r="B15" s="14" t="s">
        <v>50</v>
      </c>
      <c r="C15" s="14">
        <v>4.9000000000000004</v>
      </c>
      <c r="D15" t="s">
        <v>31</v>
      </c>
      <c r="F15" s="7"/>
      <c r="G15" s="6" t="s">
        <v>88</v>
      </c>
      <c r="H15" s="3">
        <v>0.44</v>
      </c>
      <c r="I15" s="3">
        <v>1.86</v>
      </c>
    </row>
    <row r="16" spans="1:21">
      <c r="A16" t="s">
        <v>38</v>
      </c>
      <c r="B16" s="14" t="s">
        <v>51</v>
      </c>
      <c r="C16" s="14" t="s">
        <v>52</v>
      </c>
      <c r="F16" s="6" t="s">
        <v>89</v>
      </c>
      <c r="G16" s="6" t="s">
        <v>90</v>
      </c>
      <c r="H16" s="3">
        <v>0.37</v>
      </c>
      <c r="I16" s="3">
        <v>1.56</v>
      </c>
    </row>
    <row r="17" spans="1:12">
      <c r="A17" t="s">
        <v>53</v>
      </c>
      <c r="B17" s="14" t="s">
        <v>54</v>
      </c>
      <c r="C17" s="14">
        <v>504</v>
      </c>
      <c r="D17" t="s">
        <v>55</v>
      </c>
      <c r="F17" s="6" t="s">
        <v>91</v>
      </c>
      <c r="G17" s="6" t="s">
        <v>49</v>
      </c>
      <c r="H17" s="3">
        <v>1.5</v>
      </c>
      <c r="I17" s="3">
        <v>6.33</v>
      </c>
    </row>
    <row r="18" spans="1:12">
      <c r="A18" t="s">
        <v>38</v>
      </c>
      <c r="B18" s="14" t="s">
        <v>58</v>
      </c>
      <c r="C18" s="14">
        <v>1400</v>
      </c>
      <c r="D18" t="s">
        <v>55</v>
      </c>
      <c r="F18" s="6" t="s">
        <v>92</v>
      </c>
      <c r="G18" s="6" t="s">
        <v>93</v>
      </c>
      <c r="H18" s="3">
        <v>0.65300000000000002</v>
      </c>
      <c r="I18" s="3">
        <v>2.75</v>
      </c>
    </row>
    <row r="19" spans="1:12" ht="17" thickBot="1">
      <c r="A19" t="s">
        <v>59</v>
      </c>
      <c r="B19" s="14"/>
      <c r="C19" s="14"/>
      <c r="F19" s="8" t="s">
        <v>94</v>
      </c>
      <c r="G19" s="8" t="s">
        <v>95</v>
      </c>
      <c r="H19" s="3">
        <v>8.0000000000000002E-3</v>
      </c>
      <c r="I19" s="3">
        <v>0.03</v>
      </c>
    </row>
    <row r="20" spans="1:12" ht="17" thickBot="1">
      <c r="A20" t="s">
        <v>60</v>
      </c>
      <c r="B20" s="14" t="s">
        <v>61</v>
      </c>
      <c r="C20" s="14" t="s">
        <v>25</v>
      </c>
      <c r="D20" t="s">
        <v>26</v>
      </c>
      <c r="F20" s="8" t="s">
        <v>96</v>
      </c>
      <c r="G20" s="9"/>
      <c r="H20" s="10">
        <v>23.710999999999999</v>
      </c>
      <c r="I20" s="10">
        <v>100</v>
      </c>
    </row>
    <row r="21" spans="1:12">
      <c r="A21" t="s">
        <v>62</v>
      </c>
      <c r="B21" s="14" t="s">
        <v>63</v>
      </c>
      <c r="C21" s="14">
        <v>504</v>
      </c>
      <c r="D21" t="s">
        <v>55</v>
      </c>
      <c r="F21" s="6" t="s">
        <v>98</v>
      </c>
      <c r="H21" s="11">
        <f>(H10+H11+H13+H12)/H20</f>
        <v>0.57694740837585923</v>
      </c>
      <c r="I21">
        <f>I10+I11+I13+I12</f>
        <v>57.699999999999996</v>
      </c>
      <c r="J21" t="s">
        <v>100</v>
      </c>
    </row>
    <row r="22" spans="1:12">
      <c r="A22" t="s">
        <v>38</v>
      </c>
      <c r="B22" s="14" t="s">
        <v>64</v>
      </c>
      <c r="C22" s="14">
        <v>1400</v>
      </c>
      <c r="D22" t="s">
        <v>55</v>
      </c>
      <c r="F22" s="6" t="s">
        <v>99</v>
      </c>
      <c r="H22" s="11">
        <f>SUM(H14:H15)/H20</f>
        <v>0.11387119902155117</v>
      </c>
      <c r="I22">
        <f>SUM(I14:I15)</f>
        <v>11.389999999999999</v>
      </c>
      <c r="J22" t="s">
        <v>101</v>
      </c>
    </row>
    <row r="23" spans="1:12">
      <c r="A23" t="s">
        <v>65</v>
      </c>
      <c r="B23" s="14"/>
      <c r="C23" s="14"/>
    </row>
    <row r="24" spans="1:12">
      <c r="A24" t="s">
        <v>66</v>
      </c>
      <c r="B24" s="14" t="s">
        <v>25</v>
      </c>
      <c r="C24" s="14" t="s">
        <v>26</v>
      </c>
      <c r="D24" t="s">
        <v>27</v>
      </c>
    </row>
    <row r="25" spans="1:12">
      <c r="A25" t="s">
        <v>67</v>
      </c>
      <c r="B25" s="14">
        <v>0.35699999999999998</v>
      </c>
      <c r="C25" s="14" t="s">
        <v>68</v>
      </c>
      <c r="D25" t="s">
        <v>32</v>
      </c>
    </row>
    <row r="26" spans="1:12">
      <c r="A26" t="s">
        <v>49</v>
      </c>
      <c r="B26" s="14">
        <v>0.29399999999999998</v>
      </c>
      <c r="C26" s="14" t="s">
        <v>69</v>
      </c>
      <c r="D26" t="s">
        <v>35</v>
      </c>
    </row>
    <row r="27" spans="1:12">
      <c r="A27" s="50" t="s">
        <v>581</v>
      </c>
      <c r="B27" s="14"/>
      <c r="C27" s="14"/>
    </row>
    <row r="30" spans="1:12">
      <c r="A30" t="s">
        <v>611</v>
      </c>
      <c r="C30" t="s">
        <v>141</v>
      </c>
      <c r="D30" t="s">
        <v>716</v>
      </c>
      <c r="G30" t="s">
        <v>955</v>
      </c>
      <c r="I30" t="s">
        <v>956</v>
      </c>
      <c r="J30" t="s">
        <v>126</v>
      </c>
    </row>
    <row r="31" spans="1:12">
      <c r="A31" t="s">
        <v>613</v>
      </c>
      <c r="B31">
        <v>32.299999999999997</v>
      </c>
      <c r="C31" t="s">
        <v>715</v>
      </c>
      <c r="D31">
        <f>B31/'cost estimate'!B31</f>
        <v>4.0374999999999996</v>
      </c>
      <c r="E31" t="s">
        <v>717</v>
      </c>
      <c r="F31" t="s">
        <v>641</v>
      </c>
      <c r="G31" s="49">
        <f>D31*Demand!$N$68/10^6</f>
        <v>1519.484696968233</v>
      </c>
      <c r="H31" t="s">
        <v>931</v>
      </c>
      <c r="I31">
        <f>D31*SUM(Demand!$B$55:$M$55)/10^6</f>
        <v>448.16249999999997</v>
      </c>
      <c r="J31">
        <f>I31*4</f>
        <v>1792.6499999999999</v>
      </c>
      <c r="K31">
        <f>G31*1500</f>
        <v>2279227.0454523494</v>
      </c>
    </row>
    <row r="32" spans="1:12">
      <c r="A32" t="s">
        <v>179</v>
      </c>
      <c r="B32">
        <f>AVERAGE(C7+C8,146.9)</f>
        <v>149.44999999999999</v>
      </c>
      <c r="C32" t="s">
        <v>715</v>
      </c>
      <c r="D32">
        <f>B32/'cost estimate'!$B$31</f>
        <v>18.681249999999999</v>
      </c>
      <c r="E32" t="s">
        <v>717</v>
      </c>
      <c r="G32" s="49">
        <f>D32*Demand!$N$68/10^6</f>
        <v>7030.5569028452765</v>
      </c>
      <c r="H32" t="s">
        <v>931</v>
      </c>
      <c r="I32">
        <f>D32*SUM(Demand!$B$55:$M$55)/10^6</f>
        <v>2073.6187499999996</v>
      </c>
      <c r="K32" s="132">
        <f>G32*400</f>
        <v>2812222.7611381104</v>
      </c>
      <c r="L32">
        <f>K31/K32</f>
        <v>0.81047172967547676</v>
      </c>
    </row>
    <row r="33" spans="1:11">
      <c r="A33" t="s">
        <v>37</v>
      </c>
      <c r="B33" s="48">
        <f>AVERAGE(C9+C13,36.6,59.2)</f>
        <v>44.133333333333333</v>
      </c>
      <c r="C33" t="s">
        <v>715</v>
      </c>
      <c r="D33">
        <f>B33/'cost estimate'!$B$31</f>
        <v>5.5166666666666666</v>
      </c>
      <c r="E33" t="s">
        <v>717</v>
      </c>
      <c r="G33" s="49">
        <f>D33*Demand!$N$68/10^6</f>
        <v>2076.1586571578337</v>
      </c>
      <c r="H33" t="s">
        <v>931</v>
      </c>
      <c r="I33">
        <f>D33*SUM(Demand!$B$55:$M$55)/10^6</f>
        <v>612.35</v>
      </c>
      <c r="K33">
        <f t="shared" ref="K33:K34" si="0">G33*1500</f>
        <v>3114237.9857367505</v>
      </c>
    </row>
    <row r="34" spans="1:11">
      <c r="A34" t="s">
        <v>157</v>
      </c>
      <c r="B34">
        <f>B31*0.15</f>
        <v>4.8449999999999998</v>
      </c>
      <c r="C34" t="s">
        <v>715</v>
      </c>
      <c r="D34">
        <f>B34/'cost estimate'!$B$31</f>
        <v>0.60562499999999997</v>
      </c>
      <c r="E34" t="s">
        <v>717</v>
      </c>
      <c r="F34" t="s">
        <v>700</v>
      </c>
      <c r="G34" s="49">
        <f>D34*Demand!$N$68/10^6</f>
        <v>227.92270454523498</v>
      </c>
      <c r="H34" t="s">
        <v>931</v>
      </c>
      <c r="I34">
        <f>D34*SUM(Demand!$B$55:$M$55)/10^6</f>
        <v>67.224374999999995</v>
      </c>
      <c r="K34">
        <f t="shared" si="0"/>
        <v>341884.05681785248</v>
      </c>
    </row>
    <row r="35" spans="1:11">
      <c r="A35" t="s">
        <v>711</v>
      </c>
      <c r="B35">
        <f>I22</f>
        <v>11.389999999999999</v>
      </c>
      <c r="C35" t="s">
        <v>715</v>
      </c>
      <c r="D35">
        <f>B35/'cost estimate'!$B$31</f>
        <v>1.4237499999999998</v>
      </c>
      <c r="E35" t="s">
        <v>717</v>
      </c>
    </row>
    <row r="36" spans="1:11">
      <c r="A36" t="s">
        <v>712</v>
      </c>
      <c r="B36" s="48">
        <f>B33-B35</f>
        <v>32.743333333333332</v>
      </c>
      <c r="C36" t="s">
        <v>715</v>
      </c>
      <c r="D36">
        <f>B36/'cost estimate'!$B$31</f>
        <v>4.0929166666666665</v>
      </c>
      <c r="E36" t="s">
        <v>717</v>
      </c>
      <c r="H36" s="132"/>
    </row>
    <row r="37" spans="1:11">
      <c r="A37" t="s">
        <v>713</v>
      </c>
      <c r="B37">
        <f>I21</f>
        <v>57.699999999999996</v>
      </c>
      <c r="C37" t="s">
        <v>715</v>
      </c>
      <c r="D37">
        <f>B37/'cost estimate'!$B$31</f>
        <v>7.2124999999999995</v>
      </c>
      <c r="E37" t="s">
        <v>717</v>
      </c>
    </row>
    <row r="38" spans="1:11">
      <c r="A38" t="s">
        <v>714</v>
      </c>
      <c r="B38">
        <f>B32-B37</f>
        <v>91.75</v>
      </c>
      <c r="C38" t="s">
        <v>715</v>
      </c>
      <c r="D38">
        <f>B38/'cost estimate'!$B$31</f>
        <v>11.46875</v>
      </c>
      <c r="E38" t="s">
        <v>717</v>
      </c>
      <c r="G38" s="132">
        <f>1351959+135185+942882</f>
        <v>2430026</v>
      </c>
    </row>
    <row r="39" spans="1:11">
      <c r="A39" t="s">
        <v>49</v>
      </c>
      <c r="B39">
        <f>AVERAGE(C15,4.9,4.9,3.5)</f>
        <v>4.5500000000000007</v>
      </c>
      <c r="C39" t="s">
        <v>715</v>
      </c>
      <c r="D39">
        <f>B39/'cost estimate'!$B$31</f>
        <v>0.56875000000000009</v>
      </c>
      <c r="E39" t="s">
        <v>717</v>
      </c>
      <c r="G39" s="132">
        <f>2794175+27982</f>
        <v>2822157</v>
      </c>
    </row>
    <row r="49" spans="13:13">
      <c r="M49" t="s">
        <v>615</v>
      </c>
    </row>
  </sheetData>
  <mergeCells count="2">
    <mergeCell ref="F7:F8"/>
    <mergeCell ref="G7:G8"/>
  </mergeCells>
  <pageMargins left="0.7" right="0.7" top="0.78740157499999996" bottom="0.78740157499999996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7496-C60D-7249-9313-DA5AC28EAA07}">
  <dimension ref="A3:Q60"/>
  <sheetViews>
    <sheetView topLeftCell="A16" zoomScale="88" workbookViewId="0">
      <selection activeCell="G41" sqref="G41"/>
    </sheetView>
  </sheetViews>
  <sheetFormatPr baseColWidth="10" defaultRowHeight="16"/>
  <cols>
    <col min="1" max="1" width="15.6640625" bestFit="1" customWidth="1"/>
    <col min="2" max="2" width="12.6640625" bestFit="1" customWidth="1"/>
    <col min="3" max="3" width="22.33203125" bestFit="1" customWidth="1"/>
  </cols>
  <sheetData>
    <row r="3" spans="1:5">
      <c r="A3" s="1" t="s">
        <v>591</v>
      </c>
      <c r="B3" s="1"/>
      <c r="C3" s="1" t="s">
        <v>580</v>
      </c>
      <c r="D3" s="1" t="s">
        <v>761</v>
      </c>
    </row>
    <row r="4" spans="1:5">
      <c r="A4" t="s">
        <v>583</v>
      </c>
      <c r="B4">
        <v>3760</v>
      </c>
      <c r="C4" t="s">
        <v>585</v>
      </c>
      <c r="E4" t="s">
        <v>584</v>
      </c>
    </row>
    <row r="5" spans="1:5">
      <c r="B5">
        <f>B4/O46</f>
        <v>4498.6838956688207</v>
      </c>
      <c r="C5" t="s">
        <v>590</v>
      </c>
    </row>
    <row r="6" spans="1:5">
      <c r="A6" t="s">
        <v>723</v>
      </c>
      <c r="B6" s="52">
        <f>B5*0.25</f>
        <v>1124.6709739172052</v>
      </c>
      <c r="C6" t="s">
        <v>661</v>
      </c>
      <c r="D6">
        <f>B6/8</f>
        <v>140.58387173965065</v>
      </c>
      <c r="E6" t="s">
        <v>593</v>
      </c>
    </row>
    <row r="7" spans="1:5">
      <c r="A7" t="s">
        <v>592</v>
      </c>
      <c r="B7" s="52">
        <f>B5*0.16</f>
        <v>719.78942330701136</v>
      </c>
      <c r="C7" t="s">
        <v>661</v>
      </c>
      <c r="D7">
        <f>B7/8</f>
        <v>89.97367791337642</v>
      </c>
      <c r="E7" t="s">
        <v>594</v>
      </c>
    </row>
    <row r="8" spans="1:5">
      <c r="A8" t="s">
        <v>760</v>
      </c>
      <c r="B8">
        <f>0.02*B5/conversion!B39</f>
        <v>19.774434706236573</v>
      </c>
      <c r="C8" t="s">
        <v>762</v>
      </c>
      <c r="D8">
        <f>B8/8</f>
        <v>2.4718043382795716</v>
      </c>
      <c r="E8" t="s">
        <v>594</v>
      </c>
    </row>
    <row r="10" spans="1:5">
      <c r="A10" t="s">
        <v>1</v>
      </c>
      <c r="B10" t="s">
        <v>927</v>
      </c>
    </row>
    <row r="11" spans="1:5">
      <c r="A11">
        <v>2022</v>
      </c>
      <c r="B11" t="s">
        <v>926</v>
      </c>
    </row>
    <row r="12" spans="1:5">
      <c r="A12">
        <v>2023</v>
      </c>
      <c r="B12" t="s">
        <v>926</v>
      </c>
    </row>
    <row r="13" spans="1:5">
      <c r="A13">
        <v>2024</v>
      </c>
      <c r="B13" t="s">
        <v>926</v>
      </c>
    </row>
    <row r="14" spans="1:5">
      <c r="A14">
        <v>2025</v>
      </c>
      <c r="B14" t="s">
        <v>926</v>
      </c>
    </row>
    <row r="15" spans="1:5">
      <c r="A15">
        <v>2026</v>
      </c>
      <c r="B15" t="s">
        <v>926</v>
      </c>
    </row>
    <row r="16" spans="1:5">
      <c r="A16">
        <v>2027</v>
      </c>
      <c r="B16" t="s">
        <v>926</v>
      </c>
    </row>
    <row r="17" spans="1:3">
      <c r="A17">
        <v>2028</v>
      </c>
      <c r="B17" t="s">
        <v>926</v>
      </c>
    </row>
    <row r="18" spans="1:3">
      <c r="A18">
        <v>2029</v>
      </c>
      <c r="B18" t="s">
        <v>926</v>
      </c>
    </row>
    <row r="19" spans="1:3">
      <c r="A19">
        <v>2030</v>
      </c>
      <c r="B19" t="s">
        <v>926</v>
      </c>
    </row>
    <row r="20" spans="1:3">
      <c r="A20">
        <v>2031</v>
      </c>
      <c r="B20" t="s">
        <v>926</v>
      </c>
    </row>
    <row r="21" spans="1:3">
      <c r="A21">
        <v>2032</v>
      </c>
      <c r="B21" t="s">
        <v>926</v>
      </c>
    </row>
    <row r="22" spans="1:3">
      <c r="A22">
        <v>2033</v>
      </c>
      <c r="B22">
        <f>140*11.5</f>
        <v>1610</v>
      </c>
      <c r="C22" t="s">
        <v>778</v>
      </c>
    </row>
    <row r="23" spans="1:3">
      <c r="A23">
        <v>2034</v>
      </c>
      <c r="B23">
        <f t="shared" ref="B23:B24" si="0">140*11.5</f>
        <v>1610</v>
      </c>
      <c r="C23" t="s">
        <v>778</v>
      </c>
    </row>
    <row r="24" spans="1:3">
      <c r="A24">
        <v>2035</v>
      </c>
      <c r="B24">
        <f t="shared" si="0"/>
        <v>1610</v>
      </c>
      <c r="C24" t="s">
        <v>778</v>
      </c>
    </row>
    <row r="29" spans="1:3">
      <c r="A29" s="1" t="s">
        <v>658</v>
      </c>
      <c r="B29" s="1"/>
    </row>
    <row r="30" spans="1:3">
      <c r="A30" s="1" t="s">
        <v>659</v>
      </c>
      <c r="B30" s="1" t="s">
        <v>660</v>
      </c>
    </row>
    <row r="31" spans="1:3">
      <c r="A31" s="1">
        <v>1</v>
      </c>
      <c r="B31" s="1">
        <v>8</v>
      </c>
    </row>
    <row r="33" spans="1:17">
      <c r="A33" s="143" t="s">
        <v>817</v>
      </c>
      <c r="B33" s="143"/>
      <c r="C33" s="143"/>
    </row>
    <row r="34" spans="1:17">
      <c r="A34" s="1" t="s">
        <v>818</v>
      </c>
      <c r="B34" t="s">
        <v>822</v>
      </c>
      <c r="C34" t="s">
        <v>819</v>
      </c>
    </row>
    <row r="35" spans="1:17">
      <c r="A35" s="19" t="s">
        <v>105</v>
      </c>
      <c r="B35">
        <v>38.19</v>
      </c>
      <c r="C35" s="48">
        <f t="shared" ref="C35:C45" si="1">B35/$B$46</f>
        <v>1.3895081533423741</v>
      </c>
    </row>
    <row r="36" spans="1:17">
      <c r="A36" s="19" t="s">
        <v>191</v>
      </c>
      <c r="B36">
        <v>39.54</v>
      </c>
      <c r="C36" s="48">
        <f t="shared" si="1"/>
        <v>1.4386266662256475</v>
      </c>
    </row>
    <row r="37" spans="1:17">
      <c r="A37" s="19" t="s">
        <v>108</v>
      </c>
      <c r="B37">
        <v>7.98</v>
      </c>
      <c r="C37" s="48">
        <f t="shared" si="1"/>
        <v>0.29034498726557073</v>
      </c>
    </row>
    <row r="38" spans="1:17">
      <c r="A38" s="19" t="s">
        <v>330</v>
      </c>
      <c r="B38">
        <f>B45/3</f>
        <v>13.299999999999999</v>
      </c>
      <c r="C38" s="48">
        <f t="shared" si="1"/>
        <v>0.48390831210928453</v>
      </c>
    </row>
    <row r="39" spans="1:17">
      <c r="A39" s="19" t="s">
        <v>421</v>
      </c>
      <c r="B39">
        <v>10.71</v>
      </c>
      <c r="C39" s="48">
        <f t="shared" si="1"/>
        <v>0.38967353554063444</v>
      </c>
    </row>
    <row r="40" spans="1:17">
      <c r="A40" s="19" t="s">
        <v>197</v>
      </c>
      <c r="B40">
        <v>43.18</v>
      </c>
      <c r="C40" s="48">
        <f t="shared" si="1"/>
        <v>1.571064730592399</v>
      </c>
    </row>
    <row r="41" spans="1:17">
      <c r="A41" s="19" t="s">
        <v>198</v>
      </c>
      <c r="B41">
        <v>32.49</v>
      </c>
      <c r="C41" s="48">
        <f t="shared" si="1"/>
        <v>1.1821188767241095</v>
      </c>
      <c r="E41" s="48">
        <f t="shared" ref="E41:E51" si="2">AVERAGE(C35,C49)</f>
        <v>1.2264617737730878</v>
      </c>
    </row>
    <row r="42" spans="1:17">
      <c r="A42" s="19" t="s">
        <v>303</v>
      </c>
      <c r="B42">
        <v>26.46</v>
      </c>
      <c r="C42" s="48">
        <f t="shared" si="1"/>
        <v>0.96272285251215561</v>
      </c>
      <c r="E42" s="48">
        <f t="shared" si="2"/>
        <v>1.4204663402801656</v>
      </c>
    </row>
    <row r="43" spans="1:17">
      <c r="A43" s="19" t="s">
        <v>703</v>
      </c>
      <c r="B43">
        <v>22.98</v>
      </c>
      <c r="C43" s="48">
        <f t="shared" si="1"/>
        <v>0.83610624152416235</v>
      </c>
      <c r="E43" s="48">
        <f t="shared" si="2"/>
        <v>0.44511016892103716</v>
      </c>
    </row>
    <row r="44" spans="1:17">
      <c r="A44" s="19" t="s">
        <v>633</v>
      </c>
      <c r="B44">
        <v>27.6</v>
      </c>
      <c r="C44" s="48">
        <f t="shared" si="1"/>
        <v>1.0042007078358086</v>
      </c>
      <c r="E44" s="48">
        <f t="shared" si="2"/>
        <v>0.39387064094089963</v>
      </c>
      <c r="N44" t="s">
        <v>586</v>
      </c>
    </row>
    <row r="45" spans="1:17">
      <c r="A45" s="19" t="s">
        <v>214</v>
      </c>
      <c r="B45">
        <v>39.9</v>
      </c>
      <c r="C45" s="48">
        <f t="shared" si="1"/>
        <v>1.4517249363278537</v>
      </c>
      <c r="E45" s="48">
        <f t="shared" si="2"/>
        <v>0.89404212769552749</v>
      </c>
      <c r="N45" t="s">
        <v>587</v>
      </c>
      <c r="O45">
        <v>1</v>
      </c>
      <c r="Q45" t="s">
        <v>589</v>
      </c>
    </row>
    <row r="46" spans="1:17">
      <c r="B46" s="1">
        <f>AVERAGE(B35:B45)</f>
        <v>27.484545454545454</v>
      </c>
      <c r="C46" s="48"/>
      <c r="E46" s="48">
        <f t="shared" si="2"/>
        <v>1.4964236086741989</v>
      </c>
      <c r="N46" t="s">
        <v>588</v>
      </c>
      <c r="O46">
        <v>0.83579999999999999</v>
      </c>
    </row>
    <row r="47" spans="1:17">
      <c r="E47" s="48">
        <f t="shared" si="2"/>
        <v>1.4811342280161526</v>
      </c>
    </row>
    <row r="48" spans="1:17">
      <c r="A48" s="1" t="s">
        <v>820</v>
      </c>
      <c r="B48" t="s">
        <v>823</v>
      </c>
      <c r="C48" t="s">
        <v>821</v>
      </c>
      <c r="E48" s="48">
        <f t="shared" si="2"/>
        <v>0.91179146676714051</v>
      </c>
    </row>
    <row r="49" spans="1:5">
      <c r="A49" s="19" t="s">
        <v>105</v>
      </c>
      <c r="B49">
        <v>0.27300000000000002</v>
      </c>
      <c r="C49" s="48">
        <f t="shared" ref="C49:C59" si="3">B49/$B$60</f>
        <v>1.0634153942038018</v>
      </c>
      <c r="E49" s="48">
        <f t="shared" si="2"/>
        <v>0.67319490948130833</v>
      </c>
    </row>
    <row r="50" spans="1:5">
      <c r="A50" s="19" t="s">
        <v>191</v>
      </c>
      <c r="B50">
        <v>0.36</v>
      </c>
      <c r="C50" s="48">
        <f t="shared" si="3"/>
        <v>1.4023060143346837</v>
      </c>
      <c r="E50" s="48">
        <f t="shared" si="2"/>
        <v>1.0049828718362588</v>
      </c>
    </row>
    <row r="51" spans="1:5">
      <c r="A51" s="19" t="s">
        <v>108</v>
      </c>
      <c r="B51">
        <v>0.154</v>
      </c>
      <c r="C51" s="48">
        <f t="shared" si="3"/>
        <v>0.59987535057650354</v>
      </c>
      <c r="E51" s="48">
        <f t="shared" si="2"/>
        <v>1.0842295607161239</v>
      </c>
    </row>
    <row r="52" spans="1:5">
      <c r="A52" s="19" t="s">
        <v>330</v>
      </c>
      <c r="B52">
        <v>7.8E-2</v>
      </c>
      <c r="C52" s="48">
        <f t="shared" si="3"/>
        <v>0.30383296977251478</v>
      </c>
    </row>
    <row r="53" spans="1:5">
      <c r="A53" s="19" t="s">
        <v>421</v>
      </c>
      <c r="B53">
        <v>0.35899999999999999</v>
      </c>
      <c r="C53" s="48">
        <f t="shared" si="3"/>
        <v>1.3984107198504205</v>
      </c>
    </row>
    <row r="54" spans="1:5">
      <c r="A54" s="19" t="s">
        <v>197</v>
      </c>
      <c r="B54">
        <v>0.36499999999999999</v>
      </c>
      <c r="C54" s="48">
        <f t="shared" si="3"/>
        <v>1.4217824867559987</v>
      </c>
    </row>
    <row r="55" spans="1:5">
      <c r="A55" s="19" t="s">
        <v>198</v>
      </c>
      <c r="B55">
        <v>0.45700000000000002</v>
      </c>
      <c r="C55" s="48">
        <f t="shared" si="3"/>
        <v>1.7801495793081958</v>
      </c>
    </row>
    <row r="56" spans="1:5">
      <c r="A56" s="19" t="s">
        <v>303</v>
      </c>
      <c r="B56">
        <v>0.221</v>
      </c>
      <c r="C56" s="48">
        <f t="shared" si="3"/>
        <v>0.8608600810221253</v>
      </c>
    </row>
    <row r="57" spans="1:5">
      <c r="A57" s="19" t="s">
        <v>703</v>
      </c>
      <c r="B57">
        <v>0.13100000000000001</v>
      </c>
      <c r="C57" s="48">
        <f t="shared" si="3"/>
        <v>0.51028357743845432</v>
      </c>
    </row>
    <row r="58" spans="1:5">
      <c r="A58" s="19" t="s">
        <v>633</v>
      </c>
      <c r="B58">
        <f>AVERAGE(B49:B57,B59)</f>
        <v>0.25819999999999999</v>
      </c>
      <c r="C58" s="48">
        <f t="shared" si="3"/>
        <v>1.0057650358367092</v>
      </c>
    </row>
    <row r="59" spans="1:5">
      <c r="A59" s="19" t="s">
        <v>214</v>
      </c>
      <c r="B59">
        <v>0.184</v>
      </c>
      <c r="C59" s="48">
        <f t="shared" si="3"/>
        <v>0.71673418510439391</v>
      </c>
    </row>
    <row r="60" spans="1:5">
      <c r="B60" s="1">
        <f>AVERAGE(B50:B59)</f>
        <v>0.25672</v>
      </c>
      <c r="C60" s="48"/>
    </row>
  </sheetData>
  <mergeCells count="1">
    <mergeCell ref="A33:C33"/>
  </mergeCells>
  <pageMargins left="0.7" right="0.7" top="0.78740157499999996" bottom="0.78740157499999996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A8A1-E91D-CE44-9B2B-A04404947D76}">
  <dimension ref="A1:J22"/>
  <sheetViews>
    <sheetView workbookViewId="0">
      <selection activeCell="H45" sqref="H45"/>
    </sheetView>
  </sheetViews>
  <sheetFormatPr baseColWidth="10" defaultRowHeight="16"/>
  <cols>
    <col min="3" max="3" width="23" bestFit="1" customWidth="1"/>
  </cols>
  <sheetData>
    <row r="1" spans="1:8">
      <c r="A1" t="s">
        <v>139</v>
      </c>
      <c r="B1" t="s">
        <v>279</v>
      </c>
      <c r="C1" t="s">
        <v>280</v>
      </c>
      <c r="D1" t="s">
        <v>281</v>
      </c>
      <c r="E1" t="s">
        <v>129</v>
      </c>
      <c r="F1" t="s">
        <v>392</v>
      </c>
      <c r="G1" t="s">
        <v>309</v>
      </c>
      <c r="H1" t="s">
        <v>129</v>
      </c>
    </row>
    <row r="2" spans="1:8">
      <c r="A2" t="s">
        <v>184</v>
      </c>
      <c r="B2">
        <v>44000</v>
      </c>
      <c r="C2" t="s">
        <v>282</v>
      </c>
      <c r="D2">
        <v>2022</v>
      </c>
      <c r="E2" t="s">
        <v>284</v>
      </c>
    </row>
    <row r="3" spans="1:8">
      <c r="A3" t="s">
        <v>184</v>
      </c>
      <c r="B3">
        <v>22000</v>
      </c>
      <c r="C3" t="s">
        <v>283</v>
      </c>
      <c r="D3">
        <v>2022</v>
      </c>
      <c r="E3" t="s">
        <v>284</v>
      </c>
    </row>
    <row r="4" spans="1:8">
      <c r="A4" t="s">
        <v>330</v>
      </c>
      <c r="B4">
        <v>100000</v>
      </c>
      <c r="C4" t="s">
        <v>393</v>
      </c>
      <c r="D4">
        <v>2022</v>
      </c>
      <c r="E4" t="s">
        <v>391</v>
      </c>
      <c r="F4">
        <v>200000</v>
      </c>
      <c r="G4" t="s">
        <v>394</v>
      </c>
      <c r="H4" t="s">
        <v>395</v>
      </c>
    </row>
    <row r="6" spans="1:8" ht="18" customHeight="1">
      <c r="A6" t="s">
        <v>389</v>
      </c>
      <c r="B6">
        <v>810000</v>
      </c>
      <c r="C6" t="s">
        <v>390</v>
      </c>
      <c r="D6">
        <v>2022</v>
      </c>
      <c r="E6" t="s">
        <v>391</v>
      </c>
    </row>
    <row r="8" spans="1:8">
      <c r="A8" t="s">
        <v>642</v>
      </c>
      <c r="B8">
        <v>7000</v>
      </c>
      <c r="C8" t="s">
        <v>643</v>
      </c>
      <c r="D8">
        <v>2030</v>
      </c>
      <c r="E8" t="s">
        <v>644</v>
      </c>
    </row>
    <row r="12" spans="1:8">
      <c r="A12" t="s">
        <v>179</v>
      </c>
      <c r="B12">
        <v>6</v>
      </c>
      <c r="C12" t="s">
        <v>752</v>
      </c>
    </row>
    <row r="13" spans="1:8">
      <c r="A13" t="s">
        <v>753</v>
      </c>
      <c r="B13">
        <v>330000</v>
      </c>
      <c r="C13" t="s">
        <v>754</v>
      </c>
    </row>
    <row r="14" spans="1:8">
      <c r="A14" t="s">
        <v>756</v>
      </c>
      <c r="B14">
        <v>100000</v>
      </c>
      <c r="C14" t="s">
        <v>754</v>
      </c>
    </row>
    <row r="22" spans="9:10">
      <c r="I22" t="s">
        <v>414</v>
      </c>
      <c r="J22" t="s">
        <v>412</v>
      </c>
    </row>
  </sheetData>
  <phoneticPr fontId="2" type="noConversion"/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F2D7-0426-494F-9672-BD8B82967726}">
  <dimension ref="A2:U105"/>
  <sheetViews>
    <sheetView tabSelected="1" topLeftCell="A61" zoomScale="81" workbookViewId="0">
      <selection activeCell="B104" sqref="B104"/>
    </sheetView>
  </sheetViews>
  <sheetFormatPr baseColWidth="10" defaultRowHeight="16"/>
  <cols>
    <col min="1" max="1" width="8.6640625" customWidth="1"/>
    <col min="2" max="2" width="23.83203125" customWidth="1"/>
    <col min="3" max="3" width="23.6640625" customWidth="1"/>
    <col min="4" max="4" width="17.6640625" customWidth="1"/>
    <col min="5" max="5" width="12" bestFit="1" customWidth="1"/>
    <col min="7" max="7" width="13.6640625" customWidth="1"/>
    <col min="8" max="8" width="13.6640625" bestFit="1" customWidth="1"/>
    <col min="11" max="11" width="13.83203125" customWidth="1"/>
    <col min="12" max="12" width="22.1640625" customWidth="1"/>
    <col min="14" max="15" width="13.6640625" bestFit="1" customWidth="1"/>
    <col min="17" max="17" width="22.83203125" bestFit="1" customWidth="1"/>
    <col min="18" max="18" width="20.5" customWidth="1"/>
  </cols>
  <sheetData>
    <row r="2" spans="1:19">
      <c r="A2" t="s">
        <v>139</v>
      </c>
      <c r="B2" s="18" t="s">
        <v>207</v>
      </c>
      <c r="C2" s="18" t="s">
        <v>208</v>
      </c>
      <c r="D2" s="18" t="s">
        <v>209</v>
      </c>
      <c r="E2" s="18" t="s">
        <v>210</v>
      </c>
      <c r="F2" s="1" t="s">
        <v>212</v>
      </c>
      <c r="G2" s="18" t="s">
        <v>139</v>
      </c>
      <c r="H2" s="18" t="s">
        <v>305</v>
      </c>
      <c r="I2" s="18" t="s">
        <v>26</v>
      </c>
      <c r="J2" s="18" t="s">
        <v>1</v>
      </c>
      <c r="K2" s="18" t="s">
        <v>129</v>
      </c>
      <c r="L2" s="18" t="s">
        <v>623</v>
      </c>
      <c r="M2" s="18" t="s">
        <v>313</v>
      </c>
      <c r="N2" s="18" t="s">
        <v>381</v>
      </c>
      <c r="O2" s="18" t="s">
        <v>382</v>
      </c>
      <c r="P2" s="18" t="s">
        <v>129</v>
      </c>
      <c r="Q2" s="18" t="s">
        <v>385</v>
      </c>
      <c r="R2" s="18" t="s">
        <v>386</v>
      </c>
      <c r="S2" s="18" t="s">
        <v>129</v>
      </c>
    </row>
    <row r="3" spans="1:19">
      <c r="A3" s="12" t="s">
        <v>191</v>
      </c>
      <c r="B3" s="12">
        <v>49204</v>
      </c>
      <c r="C3" s="26">
        <v>0.59</v>
      </c>
      <c r="D3" s="12">
        <v>18227</v>
      </c>
      <c r="E3" s="12" t="s">
        <v>211</v>
      </c>
      <c r="G3" t="s">
        <v>303</v>
      </c>
      <c r="H3" s="12">
        <v>746000</v>
      </c>
      <c r="I3" t="s">
        <v>306</v>
      </c>
      <c r="J3">
        <v>2021</v>
      </c>
      <c r="K3" s="38" t="s">
        <v>304</v>
      </c>
      <c r="L3" t="s">
        <v>622</v>
      </c>
      <c r="M3" s="26"/>
    </row>
    <row r="4" spans="1:19">
      <c r="A4" s="12"/>
      <c r="B4" s="12"/>
      <c r="C4" s="26"/>
      <c r="D4" s="12"/>
      <c r="E4" s="12"/>
      <c r="G4" t="s">
        <v>16</v>
      </c>
      <c r="H4" s="12">
        <f>3*10^9</f>
        <v>3000000000</v>
      </c>
      <c r="I4" t="s">
        <v>307</v>
      </c>
      <c r="J4">
        <v>2022</v>
      </c>
      <c r="K4" t="s">
        <v>308</v>
      </c>
      <c r="L4" t="s">
        <v>622</v>
      </c>
      <c r="M4" s="26"/>
    </row>
    <row r="5" spans="1:19">
      <c r="A5" s="12" t="s">
        <v>192</v>
      </c>
      <c r="B5" s="12">
        <v>32965</v>
      </c>
      <c r="C5" s="26">
        <v>0.66</v>
      </c>
      <c r="D5" s="12">
        <v>13121</v>
      </c>
      <c r="E5" s="12" t="s">
        <v>211</v>
      </c>
      <c r="G5" t="s">
        <v>214</v>
      </c>
      <c r="H5" s="12">
        <f>4.33*10^6</f>
        <v>4330000</v>
      </c>
      <c r="I5" t="s">
        <v>306</v>
      </c>
      <c r="J5">
        <v>2022</v>
      </c>
      <c r="K5" t="s">
        <v>310</v>
      </c>
      <c r="L5" t="s">
        <v>622</v>
      </c>
      <c r="M5" s="26"/>
    </row>
    <row r="6" spans="1:19">
      <c r="A6" s="12"/>
      <c r="B6" s="12"/>
      <c r="C6" s="26"/>
      <c r="D6" s="12"/>
      <c r="E6" s="12"/>
      <c r="G6" t="s">
        <v>214</v>
      </c>
      <c r="H6">
        <v>30</v>
      </c>
      <c r="I6" t="s">
        <v>185</v>
      </c>
      <c r="J6">
        <v>2022</v>
      </c>
      <c r="K6" t="s">
        <v>679</v>
      </c>
      <c r="L6" t="s">
        <v>622</v>
      </c>
      <c r="M6" s="26"/>
      <c r="Q6">
        <f>H7*2</f>
        <v>62</v>
      </c>
      <c r="S6" t="s">
        <v>383</v>
      </c>
    </row>
    <row r="7" spans="1:19">
      <c r="A7" t="s">
        <v>193</v>
      </c>
      <c r="B7">
        <v>60065</v>
      </c>
      <c r="C7" s="26">
        <v>0.99</v>
      </c>
      <c r="D7">
        <v>29886</v>
      </c>
      <c r="E7" t="s">
        <v>211</v>
      </c>
      <c r="G7" t="s">
        <v>5</v>
      </c>
      <c r="H7" s="12">
        <v>31</v>
      </c>
      <c r="I7" t="s">
        <v>185</v>
      </c>
      <c r="J7">
        <v>2022</v>
      </c>
      <c r="K7" t="s">
        <v>311</v>
      </c>
      <c r="L7" t="s">
        <v>622</v>
      </c>
      <c r="M7" s="26">
        <v>0.04</v>
      </c>
    </row>
    <row r="8" spans="1:19">
      <c r="C8" s="26"/>
      <c r="G8" t="s">
        <v>5</v>
      </c>
      <c r="H8" s="12">
        <v>1000000</v>
      </c>
      <c r="I8" t="s">
        <v>306</v>
      </c>
      <c r="J8">
        <v>2022</v>
      </c>
      <c r="K8" s="38" t="s">
        <v>375</v>
      </c>
      <c r="L8" t="s">
        <v>622</v>
      </c>
      <c r="M8" s="26"/>
    </row>
    <row r="9" spans="1:19">
      <c r="A9" s="12"/>
      <c r="B9" s="12"/>
      <c r="C9" s="26"/>
      <c r="D9" s="12"/>
      <c r="E9" s="12"/>
      <c r="G9" t="s">
        <v>5</v>
      </c>
      <c r="H9" s="12">
        <f>31*10^9</f>
        <v>31000000000</v>
      </c>
      <c r="I9" t="s">
        <v>425</v>
      </c>
      <c r="J9">
        <v>2022</v>
      </c>
      <c r="K9" s="38" t="s">
        <v>408</v>
      </c>
      <c r="L9" t="s">
        <v>640</v>
      </c>
    </row>
    <row r="10" spans="1:19">
      <c r="A10" s="12" t="s">
        <v>194</v>
      </c>
      <c r="B10" s="12">
        <v>88833</v>
      </c>
      <c r="C10" s="26">
        <v>0.2</v>
      </c>
      <c r="D10" s="12">
        <v>14892</v>
      </c>
      <c r="E10" s="12" t="s">
        <v>211</v>
      </c>
      <c r="G10" t="s">
        <v>132</v>
      </c>
      <c r="H10" s="12">
        <f>1.32*10^6</f>
        <v>1320000</v>
      </c>
      <c r="I10" t="s">
        <v>306</v>
      </c>
      <c r="J10">
        <v>2022</v>
      </c>
      <c r="K10" s="38" t="s">
        <v>314</v>
      </c>
      <c r="L10" t="s">
        <v>624</v>
      </c>
      <c r="N10" s="44">
        <f>1800*10^3</f>
        <v>1800000</v>
      </c>
      <c r="P10" t="s">
        <v>408</v>
      </c>
      <c r="Q10">
        <f>7*10^6</f>
        <v>7000000</v>
      </c>
      <c r="S10" t="s">
        <v>412</v>
      </c>
    </row>
    <row r="11" spans="1:19">
      <c r="A11" s="12"/>
      <c r="B11" s="12"/>
      <c r="C11" s="26"/>
      <c r="D11" s="12"/>
      <c r="E11" s="12"/>
      <c r="G11" t="s">
        <v>213</v>
      </c>
      <c r="H11" s="12">
        <f>3*10^6</f>
        <v>3000000</v>
      </c>
      <c r="I11" t="s">
        <v>306</v>
      </c>
      <c r="J11">
        <v>2022</v>
      </c>
      <c r="K11" t="s">
        <v>412</v>
      </c>
      <c r="L11" t="s">
        <v>625</v>
      </c>
      <c r="Q11">
        <v>25000</v>
      </c>
      <c r="R11">
        <v>60000</v>
      </c>
      <c r="S11" t="s">
        <v>412</v>
      </c>
    </row>
    <row r="12" spans="1:19">
      <c r="A12" s="12" t="s">
        <v>195</v>
      </c>
      <c r="B12" s="12">
        <v>196359</v>
      </c>
      <c r="C12" s="26">
        <v>0.52</v>
      </c>
      <c r="D12" s="12">
        <v>66984</v>
      </c>
      <c r="E12" s="12" t="s">
        <v>211</v>
      </c>
      <c r="G12" t="s">
        <v>626</v>
      </c>
      <c r="H12" s="12">
        <v>1000</v>
      </c>
      <c r="I12" t="s">
        <v>185</v>
      </c>
      <c r="J12">
        <v>2021</v>
      </c>
      <c r="K12" s="38" t="s">
        <v>412</v>
      </c>
    </row>
    <row r="13" spans="1:19">
      <c r="C13" s="26"/>
      <c r="G13" t="s">
        <v>627</v>
      </c>
      <c r="H13" s="12">
        <v>111</v>
      </c>
      <c r="I13" t="s">
        <v>185</v>
      </c>
      <c r="K13" t="s">
        <v>678</v>
      </c>
    </row>
    <row r="14" spans="1:19">
      <c r="A14" t="s">
        <v>196</v>
      </c>
      <c r="B14">
        <v>462672</v>
      </c>
      <c r="C14" s="26">
        <v>0.2</v>
      </c>
      <c r="D14">
        <v>76176</v>
      </c>
      <c r="E14" t="s">
        <v>211</v>
      </c>
      <c r="G14" t="s">
        <v>629</v>
      </c>
      <c r="H14" s="12">
        <f>H13*10^6/8</f>
        <v>13875000</v>
      </c>
      <c r="I14" t="s">
        <v>628</v>
      </c>
      <c r="K14" t="s">
        <v>639</v>
      </c>
    </row>
    <row r="15" spans="1:19">
      <c r="A15" s="12"/>
      <c r="B15" s="12"/>
      <c r="C15" s="26"/>
      <c r="D15" s="12"/>
      <c r="E15" s="12"/>
      <c r="G15" t="s">
        <v>413</v>
      </c>
      <c r="H15" s="12">
        <f>8*10^6</f>
        <v>8000000</v>
      </c>
      <c r="I15" t="s">
        <v>628</v>
      </c>
      <c r="J15">
        <v>2020</v>
      </c>
      <c r="K15" t="s">
        <v>630</v>
      </c>
    </row>
    <row r="16" spans="1:19">
      <c r="A16" s="12" t="s">
        <v>197</v>
      </c>
      <c r="B16" s="12">
        <v>236000</v>
      </c>
      <c r="C16" s="26">
        <v>0.53</v>
      </c>
      <c r="D16" s="12">
        <v>82000</v>
      </c>
      <c r="E16" s="12" t="s">
        <v>211</v>
      </c>
    </row>
    <row r="17" spans="1:21">
      <c r="A17" s="12"/>
      <c r="B17" s="12"/>
      <c r="C17" s="26"/>
      <c r="D17" s="12"/>
      <c r="E17" s="12"/>
    </row>
    <row r="18" spans="1:21">
      <c r="A18" s="12" t="s">
        <v>198</v>
      </c>
      <c r="B18" s="12">
        <v>502349</v>
      </c>
      <c r="C18" s="26">
        <v>0.37</v>
      </c>
      <c r="D18" s="12">
        <v>134429</v>
      </c>
      <c r="E18" s="12" t="s">
        <v>211</v>
      </c>
    </row>
    <row r="19" spans="1:21">
      <c r="C19" s="26"/>
      <c r="G19" s="1"/>
      <c r="H19" s="1" t="s">
        <v>650</v>
      </c>
      <c r="I19" s="1"/>
      <c r="K19" t="s">
        <v>685</v>
      </c>
    </row>
    <row r="20" spans="1:21">
      <c r="A20" t="s">
        <v>199</v>
      </c>
      <c r="B20">
        <v>123208</v>
      </c>
      <c r="C20" s="26">
        <v>0.8</v>
      </c>
      <c r="D20">
        <v>54796</v>
      </c>
      <c r="E20" t="s">
        <v>211</v>
      </c>
      <c r="G20" s="1" t="s">
        <v>213</v>
      </c>
      <c r="H20" s="56">
        <v>0.17</v>
      </c>
      <c r="I20" s="1" t="s">
        <v>313</v>
      </c>
      <c r="J20" s="38" t="s">
        <v>652</v>
      </c>
    </row>
    <row r="21" spans="1:21">
      <c r="A21" s="12"/>
      <c r="B21" s="12"/>
      <c r="C21" s="26"/>
      <c r="D21" s="12"/>
      <c r="E21" s="12"/>
      <c r="G21" s="1" t="s">
        <v>653</v>
      </c>
      <c r="H21" s="56">
        <v>0.04</v>
      </c>
      <c r="I21" s="1" t="s">
        <v>313</v>
      </c>
      <c r="J21" s="38" t="s">
        <v>314</v>
      </c>
    </row>
    <row r="22" spans="1:21">
      <c r="A22" s="12" t="s">
        <v>200</v>
      </c>
      <c r="B22" s="12">
        <v>156295</v>
      </c>
      <c r="C22" s="26">
        <v>0.25</v>
      </c>
      <c r="D22" s="12">
        <v>31267</v>
      </c>
      <c r="E22" s="12" t="s">
        <v>211</v>
      </c>
      <c r="G22" s="1" t="s">
        <v>654</v>
      </c>
      <c r="H22" s="56">
        <v>8.7999999999999995E-2</v>
      </c>
      <c r="I22" s="1" t="s">
        <v>313</v>
      </c>
      <c r="J22" s="38" t="s">
        <v>680</v>
      </c>
    </row>
    <row r="23" spans="1:21">
      <c r="A23" s="12"/>
      <c r="B23" s="12"/>
      <c r="C23" s="26"/>
      <c r="D23" s="12"/>
      <c r="E23" s="12"/>
      <c r="G23" s="1" t="s">
        <v>655</v>
      </c>
      <c r="H23" s="56">
        <v>0.125</v>
      </c>
      <c r="I23" s="1" t="s">
        <v>657</v>
      </c>
      <c r="J23" s="38" t="s">
        <v>408</v>
      </c>
    </row>
    <row r="24" spans="1:21">
      <c r="A24" s="12" t="s">
        <v>201</v>
      </c>
      <c r="B24" s="12">
        <v>195480</v>
      </c>
      <c r="C24" s="26">
        <v>1.02</v>
      </c>
      <c r="D24" s="12">
        <v>98540</v>
      </c>
      <c r="E24" s="12" t="s">
        <v>211</v>
      </c>
      <c r="G24" s="1" t="s">
        <v>389</v>
      </c>
      <c r="H24" s="57">
        <v>0.11</v>
      </c>
      <c r="I24" s="1" t="s">
        <v>657</v>
      </c>
      <c r="J24" s="38" t="s">
        <v>656</v>
      </c>
    </row>
    <row r="25" spans="1:21">
      <c r="C25" s="26"/>
      <c r="G25" s="1" t="s">
        <v>330</v>
      </c>
      <c r="H25" s="26">
        <f>(35/31)^(1/4)-1</f>
        <v>3.0805168913167424E-2</v>
      </c>
      <c r="I25" s="1" t="s">
        <v>313</v>
      </c>
      <c r="J25" s="38" t="s">
        <v>789</v>
      </c>
    </row>
    <row r="26" spans="1:21">
      <c r="A26" t="s">
        <v>202</v>
      </c>
      <c r="B26">
        <v>29969</v>
      </c>
      <c r="C26" s="26">
        <v>0.17</v>
      </c>
      <c r="D26">
        <v>4357</v>
      </c>
      <c r="E26" t="s">
        <v>211</v>
      </c>
      <c r="G26" s="1" t="s">
        <v>389</v>
      </c>
      <c r="H26" s="26">
        <f>(111/84)^(1/4)-1</f>
        <v>7.2163265133729615E-2</v>
      </c>
      <c r="I26" s="1" t="s">
        <v>313</v>
      </c>
      <c r="J26" s="38" t="s">
        <v>789</v>
      </c>
      <c r="U26" t="s">
        <v>383</v>
      </c>
    </row>
    <row r="27" spans="1:21">
      <c r="A27" s="12"/>
      <c r="B27" s="12"/>
      <c r="C27" s="26"/>
      <c r="D27" s="12"/>
      <c r="E27" s="12"/>
      <c r="U27" t="s">
        <v>408</v>
      </c>
    </row>
    <row r="28" spans="1:21">
      <c r="A28" s="12" t="s">
        <v>203</v>
      </c>
      <c r="B28" s="12">
        <v>215373</v>
      </c>
      <c r="C28" s="26">
        <v>0.6</v>
      </c>
      <c r="D28" s="12">
        <v>81875</v>
      </c>
      <c r="E28" s="12" t="s">
        <v>211</v>
      </c>
    </row>
    <row r="29" spans="1:21">
      <c r="A29" s="12"/>
      <c r="B29" s="12"/>
      <c r="C29" s="26"/>
      <c r="D29" s="12"/>
      <c r="E29" s="12"/>
    </row>
    <row r="30" spans="1:21">
      <c r="A30" s="12" t="s">
        <v>204</v>
      </c>
      <c r="B30" s="12">
        <v>41209</v>
      </c>
      <c r="C30" s="26">
        <v>0.22</v>
      </c>
      <c r="D30" s="12">
        <v>7505</v>
      </c>
      <c r="E30" s="12" t="s">
        <v>211</v>
      </c>
    </row>
    <row r="31" spans="1:21">
      <c r="C31" s="26"/>
    </row>
    <row r="32" spans="1:21">
      <c r="A32" t="s">
        <v>205</v>
      </c>
      <c r="B32">
        <v>161800</v>
      </c>
      <c r="C32" s="26">
        <v>0.21</v>
      </c>
      <c r="D32">
        <v>28129</v>
      </c>
      <c r="E32" t="s">
        <v>211</v>
      </c>
    </row>
    <row r="33" spans="1:14">
      <c r="A33" s="12"/>
      <c r="B33" s="12"/>
      <c r="C33" s="26"/>
      <c r="D33" s="12"/>
      <c r="E33" s="12"/>
    </row>
    <row r="34" spans="1:14">
      <c r="A34" s="12" t="s">
        <v>206</v>
      </c>
      <c r="B34" s="12">
        <v>59862</v>
      </c>
      <c r="C34" s="26">
        <v>0.4</v>
      </c>
      <c r="D34" s="12">
        <v>17103</v>
      </c>
      <c r="E34" s="12" t="s">
        <v>211</v>
      </c>
    </row>
    <row r="35" spans="1:14">
      <c r="A35" s="12"/>
      <c r="B35" s="12"/>
      <c r="C35" s="12"/>
      <c r="D35" s="12"/>
      <c r="E35" s="12"/>
    </row>
    <row r="36" spans="1:14">
      <c r="A36" s="144" t="s">
        <v>677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4">
      <c r="A37" t="s">
        <v>1</v>
      </c>
      <c r="B37" t="s">
        <v>540</v>
      </c>
      <c r="C37" t="s">
        <v>541</v>
      </c>
      <c r="D37" t="s">
        <v>542</v>
      </c>
      <c r="E37" t="s">
        <v>539</v>
      </c>
      <c r="F37" t="s">
        <v>543</v>
      </c>
      <c r="G37" t="s">
        <v>544</v>
      </c>
      <c r="H37" t="s">
        <v>545</v>
      </c>
      <c r="I37" t="s">
        <v>546</v>
      </c>
      <c r="J37" t="s">
        <v>547</v>
      </c>
      <c r="K37" t="s">
        <v>548</v>
      </c>
      <c r="L37" t="s">
        <v>449</v>
      </c>
      <c r="M37" t="s">
        <v>214</v>
      </c>
      <c r="N37" t="s">
        <v>3</v>
      </c>
    </row>
    <row r="38" spans="1:14">
      <c r="A38">
        <v>2022</v>
      </c>
      <c r="B38" s="12">
        <f>1.32*10^6</f>
        <v>1320000</v>
      </c>
      <c r="C38" s="12">
        <v>49204</v>
      </c>
      <c r="D38" s="12">
        <v>0</v>
      </c>
      <c r="E38" s="12">
        <v>1000000</v>
      </c>
      <c r="F38" s="12">
        <v>60065</v>
      </c>
      <c r="G38" s="12">
        <v>236000</v>
      </c>
      <c r="H38" s="12">
        <v>502349</v>
      </c>
      <c r="I38" s="12">
        <v>746000</v>
      </c>
      <c r="J38" s="12">
        <f>H4/'cost estimate'!B5*0.84</f>
        <v>560163.82978723396</v>
      </c>
      <c r="K38" s="12">
        <f>H11-SUM(F38:H38,C38)</f>
        <v>2152382</v>
      </c>
      <c r="L38" s="12">
        <f>H14-SUM(B38:K38,M38)</f>
        <v>2918836.1702127662</v>
      </c>
      <c r="M38" s="12">
        <f>4.33*10^6</f>
        <v>4330000</v>
      </c>
      <c r="N38" t="s">
        <v>676</v>
      </c>
    </row>
    <row r="39" spans="1:14">
      <c r="A39">
        <v>2023</v>
      </c>
      <c r="B39" s="12">
        <f>$B$38*($H$21+1)^(A39-$A$38)</f>
        <v>1372800</v>
      </c>
      <c r="C39" s="12">
        <f>$C$38*(1+$H$20)^(A39-$A$38)</f>
        <v>57568.679999999993</v>
      </c>
      <c r="D39" s="12">
        <v>0</v>
      </c>
      <c r="E39" s="12">
        <f>$E$38*(1+$H$23)^(A39-$A$38)</f>
        <v>1125000</v>
      </c>
      <c r="F39" s="12">
        <f>$F$38*(1+$H$20)^(A39-$A$38)</f>
        <v>70276.05</v>
      </c>
      <c r="G39" s="12">
        <f>$G$38*(1+$H$20)^(A39-$A$38)</f>
        <v>276120</v>
      </c>
      <c r="H39" s="12">
        <f>$H$38*(1+$H$20)^(A39-$A$38)</f>
        <v>587748.32999999996</v>
      </c>
      <c r="I39" s="12">
        <f>$I$38*(1+$H$23)^((A39-$A$38))</f>
        <v>839250</v>
      </c>
      <c r="J39" s="12">
        <f>$J$38*(1+$H$23)^((A39-$A$38))</f>
        <v>630184.30851063819</v>
      </c>
      <c r="K39" s="12">
        <f>$K$38*(1+$H$20)^(A39-$A$38)</f>
        <v>2518286.94</v>
      </c>
      <c r="L39" s="12">
        <f>$L$38*(1+$H$24)^(A39-$A$38)</f>
        <v>3239908.1489361706</v>
      </c>
      <c r="M39" s="12">
        <f>$M$38*(1+$H$22)^((A39-$A$38))</f>
        <v>4711040</v>
      </c>
      <c r="N39" t="s">
        <v>676</v>
      </c>
    </row>
    <row r="40" spans="1:14">
      <c r="A40">
        <v>2024</v>
      </c>
      <c r="B40" s="12">
        <f t="shared" ref="B40:B51" si="0">$B$38*($H$21+1)^(A40-$A$38)</f>
        <v>1427712.0000000002</v>
      </c>
      <c r="C40" s="12">
        <f t="shared" ref="C40:C51" si="1">$C$38*(1+$H$20)^(A40-$A$38)</f>
        <v>67355.355599999995</v>
      </c>
      <c r="D40" s="12">
        <v>0</v>
      </c>
      <c r="E40" s="12">
        <f t="shared" ref="E40:E51" si="2">$E$38*(1+$H$23)^(A40-$A$38)</f>
        <v>1265625</v>
      </c>
      <c r="F40" s="12">
        <f t="shared" ref="F40:F51" si="3">$F$38*(1+$H$20)^(A40-$A$38)</f>
        <v>82222.978499999983</v>
      </c>
      <c r="G40" s="12">
        <f t="shared" ref="G40:G50" si="4">$G$38*(1+$H$20)^(A40-$A$38)</f>
        <v>323060.39999999997</v>
      </c>
      <c r="H40" s="12">
        <f t="shared" ref="H40:H50" si="5">$H$38*(1+$H$20)^(A40-$A$38)</f>
        <v>687665.54609999992</v>
      </c>
      <c r="I40" s="12">
        <f t="shared" ref="I40:I51" si="6">$I$38*(1+$H$23)^((A40-$A$38))</f>
        <v>944156.25</v>
      </c>
      <c r="J40" s="12">
        <f t="shared" ref="J40:J51" si="7">$J$38*(1+$H$23)^((A40-$A$38))</f>
        <v>708957.34707446804</v>
      </c>
      <c r="K40" s="12">
        <f t="shared" ref="K40:K51" si="8">$K$38*(1+$H$20)^(A40-$A$38)</f>
        <v>2946395.7197999996</v>
      </c>
      <c r="L40" s="12">
        <f t="shared" ref="L40:L51" si="9">$L$38*(1+$H$24)^(A40-$A$38)</f>
        <v>3596298.0453191497</v>
      </c>
      <c r="M40" s="12">
        <f t="shared" ref="M40:M51" si="10">$M$38*(1+$H$22)^((A40-$A$38))</f>
        <v>5125611.5200000005</v>
      </c>
      <c r="N40" t="s">
        <v>676</v>
      </c>
    </row>
    <row r="41" spans="1:14">
      <c r="A41">
        <v>2025</v>
      </c>
      <c r="B41" s="12">
        <f t="shared" si="0"/>
        <v>1484820.4800000002</v>
      </c>
      <c r="C41" s="12">
        <f t="shared" si="1"/>
        <v>78805.766051999992</v>
      </c>
      <c r="D41" s="12">
        <v>0</v>
      </c>
      <c r="E41" s="12">
        <f t="shared" si="2"/>
        <v>1423828.125</v>
      </c>
      <c r="F41" s="12">
        <f t="shared" si="3"/>
        <v>96200.884844999979</v>
      </c>
      <c r="G41" s="12">
        <f t="shared" si="4"/>
        <v>377980.66799999995</v>
      </c>
      <c r="H41" s="12">
        <f t="shared" si="5"/>
        <v>804568.68893699988</v>
      </c>
      <c r="I41" s="12">
        <f t="shared" si="6"/>
        <v>1062175.78125</v>
      </c>
      <c r="J41" s="12">
        <f t="shared" si="7"/>
        <v>797577.0154587765</v>
      </c>
      <c r="K41" s="12">
        <f t="shared" si="8"/>
        <v>3447282.9921659995</v>
      </c>
      <c r="L41" s="12">
        <f t="shared" si="9"/>
        <v>3991890.8303042562</v>
      </c>
      <c r="M41" s="12">
        <f t="shared" si="10"/>
        <v>5576665.3337600008</v>
      </c>
      <c r="N41" t="s">
        <v>676</v>
      </c>
    </row>
    <row r="42" spans="1:14">
      <c r="A42">
        <v>2026</v>
      </c>
      <c r="B42" s="12">
        <f t="shared" si="0"/>
        <v>1544213.2992000002</v>
      </c>
      <c r="C42" s="12">
        <f t="shared" si="1"/>
        <v>92202.746280839972</v>
      </c>
      <c r="D42" s="12">
        <v>0</v>
      </c>
      <c r="E42" s="12">
        <f t="shared" si="2"/>
        <v>1601806.640625</v>
      </c>
      <c r="F42" s="12">
        <f t="shared" si="3"/>
        <v>112555.03526864997</v>
      </c>
      <c r="G42" s="12">
        <f t="shared" si="4"/>
        <v>442237.38155999989</v>
      </c>
      <c r="H42" s="12">
        <f t="shared" si="5"/>
        <v>941345.36605628976</v>
      </c>
      <c r="I42" s="12">
        <f t="shared" si="6"/>
        <v>1194947.75390625</v>
      </c>
      <c r="J42" s="12">
        <f t="shared" si="7"/>
        <v>897274.14239112358</v>
      </c>
      <c r="K42" s="12">
        <f t="shared" si="8"/>
        <v>4033321.1008342188</v>
      </c>
      <c r="L42" s="12">
        <f t="shared" si="9"/>
        <v>4430998.8216377245</v>
      </c>
      <c r="M42" s="12">
        <f t="shared" si="10"/>
        <v>6067411.8831308819</v>
      </c>
      <c r="N42" t="s">
        <v>676</v>
      </c>
    </row>
    <row r="43" spans="1:14">
      <c r="A43">
        <v>2027</v>
      </c>
      <c r="B43" s="12">
        <f t="shared" si="0"/>
        <v>1605981.8311680004</v>
      </c>
      <c r="C43" s="12">
        <f t="shared" si="1"/>
        <v>107877.21314858276</v>
      </c>
      <c r="D43" s="12">
        <v>0</v>
      </c>
      <c r="E43" s="12">
        <f t="shared" si="2"/>
        <v>1802032.470703125</v>
      </c>
      <c r="F43" s="12">
        <f t="shared" si="3"/>
        <v>131689.39126432044</v>
      </c>
      <c r="G43" s="12">
        <f t="shared" si="4"/>
        <v>517417.73642519978</v>
      </c>
      <c r="H43" s="12">
        <f t="shared" si="5"/>
        <v>1101374.078285859</v>
      </c>
      <c r="I43" s="12">
        <f t="shared" si="6"/>
        <v>1344316.2231445312</v>
      </c>
      <c r="J43" s="12">
        <f t="shared" si="7"/>
        <v>1009433.4101900139</v>
      </c>
      <c r="K43" s="12">
        <f t="shared" si="8"/>
        <v>4718985.6879760353</v>
      </c>
      <c r="L43" s="12">
        <f t="shared" si="9"/>
        <v>4918408.6920178747</v>
      </c>
      <c r="M43" s="12">
        <f t="shared" si="10"/>
        <v>6601344.1288464004</v>
      </c>
      <c r="N43" t="s">
        <v>676</v>
      </c>
    </row>
    <row r="44" spans="1:14">
      <c r="A44">
        <v>2028</v>
      </c>
      <c r="B44" s="12">
        <f t="shared" si="0"/>
        <v>1670221.1044147206</v>
      </c>
      <c r="C44" s="12">
        <f t="shared" si="1"/>
        <v>126216.33938384183</v>
      </c>
      <c r="D44" s="12">
        <v>0</v>
      </c>
      <c r="E44" s="12">
        <f t="shared" si="2"/>
        <v>2027286.5295410156</v>
      </c>
      <c r="F44" s="12">
        <f t="shared" si="3"/>
        <v>154076.58777925491</v>
      </c>
      <c r="G44" s="12">
        <f t="shared" si="4"/>
        <v>605378.75161748379</v>
      </c>
      <c r="H44" s="12">
        <f t="shared" si="5"/>
        <v>1288607.6715944549</v>
      </c>
      <c r="I44" s="12">
        <f t="shared" si="6"/>
        <v>1512355.7510375977</v>
      </c>
      <c r="J44" s="12">
        <f t="shared" si="7"/>
        <v>1135612.5864637657</v>
      </c>
      <c r="K44" s="12">
        <f t="shared" si="8"/>
        <v>5521213.2549319621</v>
      </c>
      <c r="L44" s="12">
        <f t="shared" si="9"/>
        <v>5459433.6481398419</v>
      </c>
      <c r="M44" s="12">
        <f t="shared" si="10"/>
        <v>7182262.4121848829</v>
      </c>
      <c r="N44" t="s">
        <v>676</v>
      </c>
    </row>
    <row r="45" spans="1:14">
      <c r="A45">
        <v>2029</v>
      </c>
      <c r="B45" s="12">
        <f t="shared" si="0"/>
        <v>1737029.9485913091</v>
      </c>
      <c r="C45" s="12">
        <f t="shared" si="1"/>
        <v>147673.11707909493</v>
      </c>
      <c r="D45" s="12">
        <v>0</v>
      </c>
      <c r="E45" s="12">
        <f t="shared" si="2"/>
        <v>2280697.3457336426</v>
      </c>
      <c r="F45" s="12">
        <f t="shared" si="3"/>
        <v>180269.60770172824</v>
      </c>
      <c r="G45" s="12">
        <f t="shared" si="4"/>
        <v>708293.13939245592</v>
      </c>
      <c r="H45" s="12">
        <f t="shared" si="5"/>
        <v>1507670.9757655121</v>
      </c>
      <c r="I45" s="12">
        <f t="shared" si="6"/>
        <v>1701400.2199172974</v>
      </c>
      <c r="J45" s="12">
        <f t="shared" si="7"/>
        <v>1277564.1597717365</v>
      </c>
      <c r="K45" s="12">
        <f t="shared" si="8"/>
        <v>6459819.5082703941</v>
      </c>
      <c r="L45" s="12">
        <f t="shared" si="9"/>
        <v>6059971.3494352242</v>
      </c>
      <c r="M45" s="12">
        <f t="shared" si="10"/>
        <v>7814301.5044571534</v>
      </c>
      <c r="N45" t="s">
        <v>676</v>
      </c>
    </row>
    <row r="46" spans="1:14">
      <c r="A46">
        <v>2030</v>
      </c>
      <c r="B46" s="12">
        <f t="shared" si="0"/>
        <v>1806511.1465349619</v>
      </c>
      <c r="C46" s="12">
        <f t="shared" si="1"/>
        <v>172777.54698254104</v>
      </c>
      <c r="D46" s="12">
        <v>0</v>
      </c>
      <c r="E46" s="12">
        <f t="shared" si="2"/>
        <v>2565784.5139503479</v>
      </c>
      <c r="F46" s="12">
        <f t="shared" si="3"/>
        <v>210915.44101102202</v>
      </c>
      <c r="G46" s="12">
        <f t="shared" si="4"/>
        <v>828702.97308917332</v>
      </c>
      <c r="H46" s="12">
        <f t="shared" si="5"/>
        <v>1763975.0416456489</v>
      </c>
      <c r="I46" s="12">
        <f t="shared" si="6"/>
        <v>1914075.2474069595</v>
      </c>
      <c r="J46" s="12">
        <f t="shared" si="7"/>
        <v>1437259.6797432036</v>
      </c>
      <c r="K46" s="12">
        <f t="shared" si="8"/>
        <v>7557988.8246763609</v>
      </c>
      <c r="L46" s="12">
        <f t="shared" si="9"/>
        <v>6726568.1978731006</v>
      </c>
      <c r="M46" s="12">
        <f t="shared" si="10"/>
        <v>8501960.0368493851</v>
      </c>
      <c r="N46" t="s">
        <v>676</v>
      </c>
    </row>
    <row r="47" spans="1:14">
      <c r="A47">
        <v>2031</v>
      </c>
      <c r="B47" s="12">
        <f t="shared" si="0"/>
        <v>1878771.5923963604</v>
      </c>
      <c r="C47" s="12">
        <f t="shared" si="1"/>
        <v>202149.72996957297</v>
      </c>
      <c r="D47" s="12">
        <v>0</v>
      </c>
      <c r="E47" s="12">
        <f t="shared" si="2"/>
        <v>2886507.5781941414</v>
      </c>
      <c r="F47" s="12">
        <f t="shared" si="3"/>
        <v>246771.06598289573</v>
      </c>
      <c r="G47" s="12">
        <f t="shared" si="4"/>
        <v>969582.47851433267</v>
      </c>
      <c r="H47" s="12">
        <f t="shared" si="5"/>
        <v>2063850.798725409</v>
      </c>
      <c r="I47" s="12">
        <f t="shared" si="6"/>
        <v>2153334.6533328295</v>
      </c>
      <c r="J47" s="12">
        <f t="shared" si="7"/>
        <v>1616917.1397111039</v>
      </c>
      <c r="K47" s="12">
        <f t="shared" si="8"/>
        <v>8842846.9248713404</v>
      </c>
      <c r="L47" s="12">
        <f t="shared" si="9"/>
        <v>7466490.6996391425</v>
      </c>
      <c r="M47" s="12">
        <f t="shared" si="10"/>
        <v>9250132.5200921297</v>
      </c>
      <c r="N47" t="s">
        <v>676</v>
      </c>
    </row>
    <row r="48" spans="1:14">
      <c r="A48">
        <v>2032</v>
      </c>
      <c r="B48" s="12">
        <f t="shared" si="0"/>
        <v>1953922.4560922149</v>
      </c>
      <c r="C48" s="12">
        <f t="shared" si="1"/>
        <v>236515.18406440041</v>
      </c>
      <c r="D48" s="12">
        <v>0</v>
      </c>
      <c r="E48" s="12">
        <f t="shared" si="2"/>
        <v>3247321.0254684091</v>
      </c>
      <c r="F48" s="12">
        <f t="shared" si="3"/>
        <v>288722.14719998802</v>
      </c>
      <c r="G48" s="12">
        <f t="shared" si="4"/>
        <v>1134411.4998617694</v>
      </c>
      <c r="H48" s="12">
        <f t="shared" si="5"/>
        <v>2414705.4345087288</v>
      </c>
      <c r="I48" s="12">
        <f t="shared" si="6"/>
        <v>2422501.4849994332</v>
      </c>
      <c r="J48" s="12">
        <f t="shared" si="7"/>
        <v>1819031.7821749919</v>
      </c>
      <c r="K48" s="12">
        <f t="shared" si="8"/>
        <v>10346130.90209947</v>
      </c>
      <c r="L48" s="12">
        <f t="shared" si="9"/>
        <v>8287804.6765994485</v>
      </c>
      <c r="M48" s="12">
        <f t="shared" si="10"/>
        <v>10064144.181860238</v>
      </c>
      <c r="N48" t="s">
        <v>676</v>
      </c>
    </row>
    <row r="49" spans="1:15">
      <c r="A49">
        <v>2033</v>
      </c>
      <c r="B49" s="12">
        <f t="shared" si="0"/>
        <v>2032079.3543359032</v>
      </c>
      <c r="C49" s="12">
        <f t="shared" si="1"/>
        <v>276722.76535534847</v>
      </c>
      <c r="D49" s="12">
        <v>0</v>
      </c>
      <c r="E49" s="12">
        <f t="shared" si="2"/>
        <v>3653236.1536519602</v>
      </c>
      <c r="F49" s="12">
        <f t="shared" si="3"/>
        <v>337804.91222398594</v>
      </c>
      <c r="G49" s="12">
        <f t="shared" si="4"/>
        <v>1327261.4548382701</v>
      </c>
      <c r="H49" s="12">
        <f t="shared" si="5"/>
        <v>2825205.3583752122</v>
      </c>
      <c r="I49" s="12">
        <f t="shared" si="6"/>
        <v>2725314.1706243623</v>
      </c>
      <c r="J49" s="12">
        <f t="shared" si="7"/>
        <v>2046410.7549468658</v>
      </c>
      <c r="K49" s="12">
        <f t="shared" si="8"/>
        <v>12104973.155456379</v>
      </c>
      <c r="L49" s="12">
        <f t="shared" si="9"/>
        <v>9199463.1910253875</v>
      </c>
      <c r="M49" s="12">
        <f t="shared" si="10"/>
        <v>10949788.869863942</v>
      </c>
      <c r="N49" t="s">
        <v>676</v>
      </c>
    </row>
    <row r="50" spans="1:15">
      <c r="A50">
        <v>2034</v>
      </c>
      <c r="B50" s="12">
        <f t="shared" si="0"/>
        <v>2113362.5285093398</v>
      </c>
      <c r="C50" s="12">
        <f t="shared" si="1"/>
        <v>323765.63546575763</v>
      </c>
      <c r="D50" s="12">
        <v>0</v>
      </c>
      <c r="E50" s="12">
        <f t="shared" si="2"/>
        <v>4109890.6728584552</v>
      </c>
      <c r="F50" s="12">
        <f t="shared" si="3"/>
        <v>395231.74730206351</v>
      </c>
      <c r="G50" s="12">
        <f t="shared" si="4"/>
        <v>1552895.9021607756</v>
      </c>
      <c r="H50" s="12">
        <f t="shared" si="5"/>
        <v>3305490.2692989977</v>
      </c>
      <c r="I50" s="12">
        <f t="shared" si="6"/>
        <v>3065978.4419524074</v>
      </c>
      <c r="J50" s="12">
        <f t="shared" si="7"/>
        <v>2302212.0993152242</v>
      </c>
      <c r="K50" s="12">
        <f t="shared" si="8"/>
        <v>14162818.591883959</v>
      </c>
      <c r="L50" s="12">
        <f t="shared" si="9"/>
        <v>10211404.142038181</v>
      </c>
      <c r="M50" s="12">
        <f t="shared" si="10"/>
        <v>11913370.29041197</v>
      </c>
      <c r="N50" t="s">
        <v>676</v>
      </c>
    </row>
    <row r="51" spans="1:15">
      <c r="A51">
        <v>2035</v>
      </c>
      <c r="B51" s="12">
        <f t="shared" si="0"/>
        <v>2197897.0296497135</v>
      </c>
      <c r="C51" s="12">
        <f t="shared" si="1"/>
        <v>378805.79349493643</v>
      </c>
      <c r="D51" s="12">
        <v>0</v>
      </c>
      <c r="E51" s="12">
        <f t="shared" si="2"/>
        <v>4623627.006965762</v>
      </c>
      <c r="F51" s="12">
        <f t="shared" si="3"/>
        <v>462421.14434341429</v>
      </c>
      <c r="G51" s="12">
        <f>$G$38*(1+$H$20)^(A51-$A$38)</f>
        <v>1816888.2055281075</v>
      </c>
      <c r="H51" s="12">
        <f>$H$38*(1+$H$20)^(A51-$A$38)</f>
        <v>3867423.6150798271</v>
      </c>
      <c r="I51" s="12">
        <f t="shared" si="6"/>
        <v>3449225.7471964587</v>
      </c>
      <c r="J51" s="12">
        <f t="shared" si="7"/>
        <v>2589988.611729627</v>
      </c>
      <c r="K51" s="12">
        <f t="shared" si="8"/>
        <v>16570497.752504231</v>
      </c>
      <c r="L51" s="12">
        <f t="shared" si="9"/>
        <v>11334658.597662382</v>
      </c>
      <c r="M51" s="12">
        <f t="shared" si="10"/>
        <v>12961746.875968223</v>
      </c>
      <c r="N51" s="12">
        <f>SUM(B51:M51)</f>
        <v>60253180.380122684</v>
      </c>
    </row>
    <row r="53" spans="1:15">
      <c r="A53" t="s">
        <v>1</v>
      </c>
      <c r="B53" t="s">
        <v>540</v>
      </c>
      <c r="C53" t="s">
        <v>541</v>
      </c>
      <c r="D53" t="s">
        <v>542</v>
      </c>
      <c r="E53" t="s">
        <v>539</v>
      </c>
      <c r="F53" t="s">
        <v>543</v>
      </c>
      <c r="G53" t="s">
        <v>544</v>
      </c>
      <c r="H53" t="s">
        <v>545</v>
      </c>
      <c r="I53" t="s">
        <v>546</v>
      </c>
      <c r="J53" t="s">
        <v>547</v>
      </c>
      <c r="K53" t="s">
        <v>548</v>
      </c>
      <c r="L53" t="s">
        <v>449</v>
      </c>
      <c r="M53" t="s">
        <v>214</v>
      </c>
    </row>
    <row r="54" spans="1:15">
      <c r="N54" t="s">
        <v>660</v>
      </c>
      <c r="O54" s="12"/>
    </row>
    <row r="55" spans="1:15">
      <c r="A55">
        <v>2022</v>
      </c>
      <c r="B55" s="12">
        <f>1.32*10^6*8</f>
        <v>10560000</v>
      </c>
      <c r="C55" s="12">
        <f>49204*'cost estimate'!B31</f>
        <v>393632</v>
      </c>
      <c r="D55" s="12">
        <v>0</v>
      </c>
      <c r="E55" s="12">
        <f>H7*10^6</f>
        <v>31000000</v>
      </c>
      <c r="F55" s="12">
        <f>60065*'cost estimate'!B31</f>
        <v>480520</v>
      </c>
      <c r="G55" s="12">
        <f>236000*'cost estimate'!B31</f>
        <v>1888000</v>
      </c>
      <c r="H55" s="12">
        <f>502349*'cost estimate'!B31</f>
        <v>4018792</v>
      </c>
      <c r="I55" s="12">
        <f>746000*'cost estimate'!B31</f>
        <v>5968000</v>
      </c>
      <c r="J55" s="12">
        <f>H4/'cost estimate'!B5*0.84*'cost estimate'!B31</f>
        <v>4481310.6382978717</v>
      </c>
      <c r="K55" s="12">
        <f>H11*8-SUM(F55:H55,C55)</f>
        <v>17219056</v>
      </c>
      <c r="L55" s="12">
        <f>H13*10^6-SUM(B55:K55,M55)</f>
        <v>4990689.3617021292</v>
      </c>
      <c r="M55" s="12">
        <f>H6*10^6</f>
        <v>30000000</v>
      </c>
      <c r="N55" t="s">
        <v>660</v>
      </c>
    </row>
    <row r="56" spans="1:15">
      <c r="A56">
        <v>2023</v>
      </c>
      <c r="B56" s="12">
        <f t="shared" ref="B56:B68" si="11">$B$55*($H$21+1)^(A56-$A$55)</f>
        <v>10982400</v>
      </c>
      <c r="C56" s="12">
        <f t="shared" ref="C56:C68" si="12">$C$55*(1+$H$20)^(A56-$A$55)</f>
        <v>460549.43999999994</v>
      </c>
      <c r="D56" s="12">
        <v>0</v>
      </c>
      <c r="E56" s="12">
        <f t="shared" ref="E56:E68" si="13">$E$55*(1+$H$25)^(A56-$A$38)</f>
        <v>31954960.236308191</v>
      </c>
      <c r="F56" s="12">
        <f t="shared" ref="F56:F68" si="14">$F$55*(1+$H$20)^(A56-$A$38)</f>
        <v>562208.4</v>
      </c>
      <c r="G56" s="12">
        <f t="shared" ref="G56:G68" si="15">$G$55*(1+$H$20)^(A56-$A$38)</f>
        <v>2208960</v>
      </c>
      <c r="H56" s="12">
        <f t="shared" ref="H56:H68" si="16">$H$55*(1+$H$20)^(A56-$A$38)</f>
        <v>4701986.6399999997</v>
      </c>
      <c r="I56" s="12">
        <f t="shared" ref="I56:I68" si="17">$I$55*(1+$H$26)^((A56-$A$38))</f>
        <v>6398670.3663180983</v>
      </c>
      <c r="J56" s="12">
        <f t="shared" ref="J56:J68" si="18">$J$55*(1+$H$26)^((A56-$A$38))</f>
        <v>4804696.6460359637</v>
      </c>
      <c r="K56" s="12">
        <f t="shared" ref="K56:K68" si="19">$K$55*(1+$H$20)^(A56-$A$38)</f>
        <v>20146295.52</v>
      </c>
      <c r="L56" s="12">
        <f t="shared" ref="L56:L68" si="20">$L$55*(1+$H$26)^(A56-$A$38)</f>
        <v>5350833.8013107236</v>
      </c>
      <c r="M56" s="12">
        <f t="shared" ref="M56:M67" si="21">$M$55*(1+$H$22)^((A56-$A$38))</f>
        <v>32640000.000000004</v>
      </c>
      <c r="N56" t="s">
        <v>660</v>
      </c>
    </row>
    <row r="57" spans="1:15">
      <c r="A57">
        <v>2024</v>
      </c>
      <c r="B57" s="12">
        <f t="shared" si="11"/>
        <v>11421696.000000002</v>
      </c>
      <c r="C57" s="12">
        <f t="shared" si="12"/>
        <v>538842.84479999996</v>
      </c>
      <c r="D57" s="12">
        <v>0</v>
      </c>
      <c r="E57" s="12">
        <f t="shared" si="13"/>
        <v>32939338.184001211</v>
      </c>
      <c r="F57" s="12">
        <f t="shared" si="14"/>
        <v>657783.82799999986</v>
      </c>
      <c r="G57" s="12">
        <f t="shared" si="15"/>
        <v>2584483.1999999997</v>
      </c>
      <c r="H57" s="12">
        <f t="shared" si="16"/>
        <v>5501324.3687999994</v>
      </c>
      <c r="I57" s="12">
        <f t="shared" si="17"/>
        <v>6860419.3124660505</v>
      </c>
      <c r="J57" s="12">
        <f t="shared" si="18"/>
        <v>5151419.2439909996</v>
      </c>
      <c r="K57" s="12">
        <f t="shared" si="19"/>
        <v>23571165.758399997</v>
      </c>
      <c r="L57" s="12">
        <f t="shared" si="20"/>
        <v>5736967.4396012323</v>
      </c>
      <c r="M57" s="12">
        <f t="shared" si="21"/>
        <v>35512320.000000007</v>
      </c>
      <c r="N57" t="s">
        <v>660</v>
      </c>
    </row>
    <row r="58" spans="1:15">
      <c r="A58">
        <v>2025</v>
      </c>
      <c r="B58" s="12">
        <f t="shared" si="11"/>
        <v>11878563.840000002</v>
      </c>
      <c r="C58" s="12">
        <f t="shared" si="12"/>
        <v>630446.12841599993</v>
      </c>
      <c r="D58" s="12">
        <v>0</v>
      </c>
      <c r="E58" s="12">
        <f t="shared" si="13"/>
        <v>33954040.060647316</v>
      </c>
      <c r="F58" s="12">
        <f t="shared" si="14"/>
        <v>769607.07875999983</v>
      </c>
      <c r="G58" s="12">
        <f t="shared" si="15"/>
        <v>3023845.3439999996</v>
      </c>
      <c r="H58" s="12">
        <f t="shared" si="16"/>
        <v>6436549.5114959991</v>
      </c>
      <c r="I58" s="12">
        <f t="shared" si="17"/>
        <v>7355489.5702400981</v>
      </c>
      <c r="J58" s="12">
        <f t="shared" si="18"/>
        <v>5523162.4767101193</v>
      </c>
      <c r="K58" s="12">
        <f t="shared" si="19"/>
        <v>27578263.937327996</v>
      </c>
      <c r="L58" s="12">
        <f t="shared" si="20"/>
        <v>6150965.7420087503</v>
      </c>
      <c r="M58" s="12">
        <f t="shared" si="21"/>
        <v>38637404.160000011</v>
      </c>
      <c r="N58" t="s">
        <v>660</v>
      </c>
    </row>
    <row r="59" spans="1:15">
      <c r="A59">
        <v>2026</v>
      </c>
      <c r="B59" s="12">
        <f t="shared" si="11"/>
        <v>12353706.393600002</v>
      </c>
      <c r="C59" s="12">
        <f t="shared" si="12"/>
        <v>737621.97024671978</v>
      </c>
      <c r="D59" s="12">
        <v>0</v>
      </c>
      <c r="E59" s="12">
        <f t="shared" si="13"/>
        <v>35000000.000000007</v>
      </c>
      <c r="F59" s="12">
        <f t="shared" si="14"/>
        <v>900440.28214919975</v>
      </c>
      <c r="G59" s="12">
        <f t="shared" si="15"/>
        <v>3537899.0524799991</v>
      </c>
      <c r="H59" s="12">
        <f t="shared" si="16"/>
        <v>7530762.9284503181</v>
      </c>
      <c r="I59" s="12">
        <f t="shared" si="17"/>
        <v>7886285.7142857164</v>
      </c>
      <c r="J59" s="12">
        <f t="shared" si="18"/>
        <v>5921731.9148936179</v>
      </c>
      <c r="K59" s="12">
        <f t="shared" si="19"/>
        <v>32266568.80667375</v>
      </c>
      <c r="L59" s="12">
        <f t="shared" si="20"/>
        <v>6594839.5136778159</v>
      </c>
      <c r="M59" s="12">
        <f t="shared" si="21"/>
        <v>42037495.726080015</v>
      </c>
      <c r="N59" t="s">
        <v>660</v>
      </c>
    </row>
    <row r="60" spans="1:15">
      <c r="A60">
        <v>2027</v>
      </c>
      <c r="B60" s="12">
        <f t="shared" si="11"/>
        <v>12847854.649344003</v>
      </c>
      <c r="C60" s="12">
        <f t="shared" si="12"/>
        <v>863017.70518866205</v>
      </c>
      <c r="D60" s="12">
        <v>0</v>
      </c>
      <c r="E60" s="12">
        <f t="shared" si="13"/>
        <v>36078180.91196087</v>
      </c>
      <c r="F60" s="12">
        <f t="shared" si="14"/>
        <v>1053515.1301145635</v>
      </c>
      <c r="G60" s="12">
        <f t="shared" si="15"/>
        <v>4139341.8914015982</v>
      </c>
      <c r="H60" s="12">
        <f t="shared" si="16"/>
        <v>8810992.6262868717</v>
      </c>
      <c r="I60" s="12">
        <f t="shared" si="17"/>
        <v>8455385.8412060607</v>
      </c>
      <c r="J60" s="12">
        <f t="shared" si="18"/>
        <v>6349063.4251189539</v>
      </c>
      <c r="K60" s="12">
        <f t="shared" si="19"/>
        <v>37751885.503808282</v>
      </c>
      <c r="L60" s="12">
        <f t="shared" si="20"/>
        <v>7070744.6660177438</v>
      </c>
      <c r="M60" s="12">
        <f t="shared" si="21"/>
        <v>45736795.349975057</v>
      </c>
      <c r="N60" t="s">
        <v>660</v>
      </c>
    </row>
    <row r="61" spans="1:15">
      <c r="A61">
        <v>2028</v>
      </c>
      <c r="B61" s="12">
        <f t="shared" si="11"/>
        <v>13361768.835317764</v>
      </c>
      <c r="C61" s="12">
        <f t="shared" si="12"/>
        <v>1009730.7150707346</v>
      </c>
      <c r="D61" s="12">
        <v>0</v>
      </c>
      <c r="E61" s="12">
        <f t="shared" si="13"/>
        <v>37189575.369033642</v>
      </c>
      <c r="F61" s="12">
        <f t="shared" si="14"/>
        <v>1232612.7022340393</v>
      </c>
      <c r="G61" s="12">
        <f t="shared" si="15"/>
        <v>4843030.0129398704</v>
      </c>
      <c r="H61" s="12">
        <f t="shared" si="16"/>
        <v>10308861.372755639</v>
      </c>
      <c r="I61" s="12">
        <f t="shared" si="17"/>
        <v>9065554.0914729983</v>
      </c>
      <c r="J61" s="12">
        <f t="shared" si="18"/>
        <v>6807232.5724166799</v>
      </c>
      <c r="K61" s="12">
        <f t="shared" si="19"/>
        <v>44169706.039455697</v>
      </c>
      <c r="L61" s="12">
        <f t="shared" si="20"/>
        <v>7580992.6880444884</v>
      </c>
      <c r="M61" s="12">
        <f t="shared" si="21"/>
        <v>49761633.34077286</v>
      </c>
      <c r="N61" t="s">
        <v>660</v>
      </c>
    </row>
    <row r="62" spans="1:15">
      <c r="A62">
        <v>2029</v>
      </c>
      <c r="B62" s="12">
        <f t="shared" si="11"/>
        <v>13896239.588730473</v>
      </c>
      <c r="C62" s="12">
        <f t="shared" si="12"/>
        <v>1181384.9366327594</v>
      </c>
      <c r="D62" s="12">
        <v>0</v>
      </c>
      <c r="E62" s="12">
        <f t="shared" si="13"/>
        <v>38335206.520085692</v>
      </c>
      <c r="F62" s="12">
        <f t="shared" si="14"/>
        <v>1442156.8616138259</v>
      </c>
      <c r="G62" s="12">
        <f t="shared" si="15"/>
        <v>5666345.1151396474</v>
      </c>
      <c r="H62" s="12">
        <f t="shared" si="16"/>
        <v>12061367.806124097</v>
      </c>
      <c r="I62" s="12">
        <f t="shared" si="17"/>
        <v>9719754.0749601331</v>
      </c>
      <c r="J62" s="12">
        <f t="shared" si="18"/>
        <v>7298464.7013669452</v>
      </c>
      <c r="K62" s="12">
        <f t="shared" si="19"/>
        <v>51678556.066163152</v>
      </c>
      <c r="L62" s="12">
        <f t="shared" si="20"/>
        <v>8128061.8733687084</v>
      </c>
      <c r="M62" s="12">
        <f t="shared" si="21"/>
        <v>54140657.074760884</v>
      </c>
      <c r="N62" t="s">
        <v>660</v>
      </c>
    </row>
    <row r="63" spans="1:15">
      <c r="A63">
        <v>2030</v>
      </c>
      <c r="B63" s="12">
        <f t="shared" si="11"/>
        <v>14452089.172279695</v>
      </c>
      <c r="C63" s="12">
        <f t="shared" si="12"/>
        <v>1382220.3758603283</v>
      </c>
      <c r="D63" s="12">
        <v>0</v>
      </c>
      <c r="E63" s="12">
        <f t="shared" si="13"/>
        <v>39516129.032258086</v>
      </c>
      <c r="F63" s="12">
        <f t="shared" si="14"/>
        <v>1687323.5280881762</v>
      </c>
      <c r="G63" s="12">
        <f t="shared" si="15"/>
        <v>6629623.7847133866</v>
      </c>
      <c r="H63" s="12">
        <f t="shared" si="16"/>
        <v>14111800.333165191</v>
      </c>
      <c r="I63" s="12">
        <f t="shared" si="17"/>
        <v>10421163.265306128</v>
      </c>
      <c r="J63" s="12">
        <f t="shared" si="18"/>
        <v>7825145.7446808545</v>
      </c>
      <c r="K63" s="12">
        <f t="shared" si="19"/>
        <v>60463910.597410887</v>
      </c>
      <c r="L63" s="12">
        <f t="shared" si="20"/>
        <v>8714609.3573599737</v>
      </c>
      <c r="M63" s="12">
        <f t="shared" si="21"/>
        <v>58905034.897339843</v>
      </c>
      <c r="N63" t="s">
        <v>660</v>
      </c>
    </row>
    <row r="64" spans="1:15">
      <c r="A64">
        <v>2031</v>
      </c>
      <c r="B64" s="12">
        <f t="shared" si="11"/>
        <v>15030172.739170883</v>
      </c>
      <c r="C64" s="12">
        <f t="shared" si="12"/>
        <v>1617197.8397565838</v>
      </c>
      <c r="D64" s="12">
        <v>0</v>
      </c>
      <c r="E64" s="12">
        <f t="shared" si="13"/>
        <v>40733430.061891317</v>
      </c>
      <c r="F64" s="12">
        <f t="shared" si="14"/>
        <v>1974168.5278631658</v>
      </c>
      <c r="G64" s="12">
        <f t="shared" si="15"/>
        <v>7756659.8281146614</v>
      </c>
      <c r="H64" s="12">
        <f t="shared" si="16"/>
        <v>16510806.389803272</v>
      </c>
      <c r="I64" s="12">
        <f t="shared" si="17"/>
        <v>11173188.433022298</v>
      </c>
      <c r="J64" s="12">
        <f t="shared" si="18"/>
        <v>8389833.8117643353</v>
      </c>
      <c r="K64" s="12">
        <f t="shared" si="19"/>
        <v>70742775.398970723</v>
      </c>
      <c r="L64" s="12">
        <f t="shared" si="20"/>
        <v>9343484.022952022</v>
      </c>
      <c r="M64" s="12">
        <f t="shared" si="21"/>
        <v>64088677.968305752</v>
      </c>
      <c r="N64" t="s">
        <v>660</v>
      </c>
    </row>
    <row r="65" spans="1:21">
      <c r="A65">
        <v>2032</v>
      </c>
      <c r="B65" s="12">
        <f t="shared" si="11"/>
        <v>15631379.648737719</v>
      </c>
      <c r="C65" s="12">
        <f t="shared" si="12"/>
        <v>1892121.4725152033</v>
      </c>
      <c r="D65" s="12">
        <v>0</v>
      </c>
      <c r="E65" s="12">
        <f t="shared" si="13"/>
        <v>41988230.255360574</v>
      </c>
      <c r="F65" s="12">
        <f t="shared" si="14"/>
        <v>2309777.1775999041</v>
      </c>
      <c r="G65" s="12">
        <f t="shared" si="15"/>
        <v>9075291.998894155</v>
      </c>
      <c r="H65" s="12">
        <f t="shared" si="16"/>
        <v>19317643.47606983</v>
      </c>
      <c r="I65" s="12">
        <f t="shared" si="17"/>
        <v>11979482.192303607</v>
      </c>
      <c r="J65" s="12">
        <f t="shared" si="18"/>
        <v>8995271.6135506146</v>
      </c>
      <c r="K65" s="12">
        <f t="shared" si="19"/>
        <v>82769047.216795757</v>
      </c>
      <c r="L65" s="12">
        <f t="shared" si="20"/>
        <v>10017740.337773075</v>
      </c>
      <c r="M65" s="12">
        <f t="shared" si="21"/>
        <v>69728481.629516661</v>
      </c>
      <c r="N65" t="s">
        <v>660</v>
      </c>
    </row>
    <row r="66" spans="1:21">
      <c r="A66">
        <v>2033</v>
      </c>
      <c r="B66" s="12">
        <f t="shared" si="11"/>
        <v>16256634.834687226</v>
      </c>
      <c r="C66" s="12">
        <f t="shared" si="12"/>
        <v>2213782.1228427878</v>
      </c>
      <c r="D66" s="12">
        <v>0</v>
      </c>
      <c r="E66" s="12">
        <f t="shared" si="13"/>
        <v>43281684.780741923</v>
      </c>
      <c r="F66" s="12">
        <f t="shared" si="14"/>
        <v>2702439.2977918875</v>
      </c>
      <c r="G66" s="12">
        <f t="shared" si="15"/>
        <v>10618091.638706161</v>
      </c>
      <c r="H66" s="12">
        <f t="shared" si="16"/>
        <v>22601642.867001697</v>
      </c>
      <c r="I66" s="12">
        <f t="shared" si="17"/>
        <v>12843960.741911607</v>
      </c>
      <c r="J66" s="12">
        <f t="shared" si="18"/>
        <v>9644399.7839491796</v>
      </c>
      <c r="K66" s="12">
        <f t="shared" si="19"/>
        <v>96839785.243651032</v>
      </c>
      <c r="L66" s="12">
        <f t="shared" si="20"/>
        <v>10740653.189808654</v>
      </c>
      <c r="M66" s="12">
        <f t="shared" si="21"/>
        <v>75864588.012914151</v>
      </c>
      <c r="N66" t="s">
        <v>660</v>
      </c>
    </row>
    <row r="67" spans="1:21">
      <c r="A67">
        <v>2034</v>
      </c>
      <c r="B67" s="12">
        <f t="shared" si="11"/>
        <v>16906900.228074718</v>
      </c>
      <c r="C67" s="12">
        <f t="shared" si="12"/>
        <v>2590125.083726061</v>
      </c>
      <c r="D67" s="12">
        <v>0</v>
      </c>
      <c r="E67" s="12">
        <f t="shared" si="13"/>
        <v>44614984.391259149</v>
      </c>
      <c r="F67" s="12">
        <f t="shared" si="14"/>
        <v>3161853.9784165081</v>
      </c>
      <c r="G67" s="12">
        <f t="shared" si="15"/>
        <v>12423167.217286205</v>
      </c>
      <c r="H67" s="12">
        <f t="shared" si="16"/>
        <v>26443922.154391982</v>
      </c>
      <c r="I67" s="12">
        <f t="shared" si="17"/>
        <v>13770822.88629739</v>
      </c>
      <c r="J67" s="12">
        <f t="shared" si="18"/>
        <v>10340371.162613992</v>
      </c>
      <c r="K67" s="12">
        <f t="shared" si="19"/>
        <v>113302548.73507167</v>
      </c>
      <c r="L67" s="12">
        <f t="shared" si="20"/>
        <v>11515733.793654256</v>
      </c>
      <c r="M67" s="12">
        <f t="shared" si="21"/>
        <v>82540671.758050591</v>
      </c>
    </row>
    <row r="68" spans="1:21">
      <c r="A68">
        <v>2035</v>
      </c>
      <c r="B68" s="12">
        <f t="shared" si="11"/>
        <v>17583176.237197708</v>
      </c>
      <c r="C68" s="12">
        <f t="shared" si="12"/>
        <v>3030446.3479594914</v>
      </c>
      <c r="D68" s="12">
        <v>0</v>
      </c>
      <c r="E68" s="12">
        <f t="shared" si="13"/>
        <v>45989356.521490201</v>
      </c>
      <c r="F68" s="12">
        <f t="shared" si="14"/>
        <v>3699369.1547473143</v>
      </c>
      <c r="G68" s="12">
        <f t="shared" si="15"/>
        <v>14535105.64422486</v>
      </c>
      <c r="H68" s="12">
        <f t="shared" si="16"/>
        <v>30939388.920638617</v>
      </c>
      <c r="I68" s="12">
        <f t="shared" si="17"/>
        <v>14764570.429350898</v>
      </c>
      <c r="J68" s="12">
        <f t="shared" si="18"/>
        <v>11086566.108402874</v>
      </c>
      <c r="K68" s="12">
        <f t="shared" si="19"/>
        <v>132563982.02003385</v>
      </c>
      <c r="L68" s="12">
        <f t="shared" si="20"/>
        <v>12346746.744615175</v>
      </c>
      <c r="M68" s="12">
        <f>$M$55*(1+$H$22)^((A68-$A$38))</f>
        <v>89804250.872759059</v>
      </c>
      <c r="N68" s="58">
        <f>SUM(B68:M68)</f>
        <v>376342959.00142002</v>
      </c>
      <c r="O68" s="1" t="s">
        <v>681</v>
      </c>
      <c r="P68" s="1"/>
    </row>
    <row r="69" spans="1:21">
      <c r="A69">
        <v>2036</v>
      </c>
      <c r="B69" s="12">
        <f t="shared" ref="B69" si="22">$B$55*($H$21+1)^(A69-$A$55)</f>
        <v>18286503.286685616</v>
      </c>
      <c r="C69" s="12">
        <f t="shared" ref="C69" si="23">$C$55*(1+$H$20)^(A69-$A$55)</f>
        <v>3545622.2271126048</v>
      </c>
      <c r="D69" s="12">
        <v>1</v>
      </c>
      <c r="E69" s="12">
        <f t="shared" ref="E69" si="24">$E$55*(1+$H$25)^(A69-$A$38)</f>
        <v>47406066.417342596</v>
      </c>
      <c r="F69" s="12">
        <f t="shared" ref="F69" si="25">$F$55*(1+$H$20)^(A69-$A$38)</f>
        <v>4328261.9110543579</v>
      </c>
      <c r="G69" s="12">
        <f t="shared" ref="G69" si="26">$G$55*(1+$H$20)^(A69-$A$38)</f>
        <v>17006073.603743084</v>
      </c>
      <c r="H69" s="12">
        <f t="shared" ref="H69" si="27">$H$55*(1+$H$20)^(A69-$A$38)</f>
        <v>36199085.037147187</v>
      </c>
      <c r="I69" s="12">
        <f t="shared" ref="I69" si="28">$I$55*(1+$H$26)^((A69-$A$38))</f>
        <v>15830030.039829774</v>
      </c>
      <c r="J69" s="12">
        <f t="shared" ref="J69" si="29">$J$55*(1+$H$26)^((A69-$A$38))</f>
        <v>11886608.917906174</v>
      </c>
      <c r="K69" s="12">
        <f t="shared" ref="K69" si="30">$K$55*(1+$H$20)^(A69-$A$38)</f>
        <v>155099858.96343961</v>
      </c>
      <c r="L69" s="12">
        <f>$L$55*(1+$H$26)^(A69-$A$38)</f>
        <v>13237728.303485855</v>
      </c>
      <c r="M69" s="12">
        <f>$M$55*(1+$H$22)^((A69-$A$38))</f>
        <v>97707024.949561834</v>
      </c>
      <c r="N69" s="58"/>
      <c r="O69" s="1"/>
      <c r="P69" s="1"/>
    </row>
    <row r="70" spans="1:21">
      <c r="B70" t="s">
        <v>897</v>
      </c>
      <c r="C70" t="s">
        <v>924</v>
      </c>
      <c r="E70" t="s">
        <v>925</v>
      </c>
      <c r="N70" s="1" t="s">
        <v>682</v>
      </c>
      <c r="O70" s="1" t="s">
        <v>683</v>
      </c>
      <c r="P70" s="1"/>
    </row>
    <row r="71" spans="1:21">
      <c r="B71" s="52">
        <v>164.40808404255316</v>
      </c>
      <c r="C71" s="52">
        <v>135.9928401702127</v>
      </c>
      <c r="D71" s="48">
        <v>139</v>
      </c>
      <c r="E71" s="52">
        <f t="shared" ref="E71:E84" si="31">SUM(B55:M55)/10^6</f>
        <v>111</v>
      </c>
      <c r="F71" t="str">
        <f>IF(OR(B71&lt;E71,C71&lt;E71,D71&lt;E71),"problem", "good")</f>
        <v>good</v>
      </c>
      <c r="N71" s="1">
        <f>M68/N68</f>
        <v>0.23862343834210065</v>
      </c>
      <c r="O71" s="1">
        <f>34/100</f>
        <v>0.34</v>
      </c>
      <c r="P71" s="1"/>
    </row>
    <row r="72" spans="1:21">
      <c r="B72" s="52">
        <v>177.11144072316378</v>
      </c>
      <c r="C72" s="52">
        <v>150.30156351645954</v>
      </c>
      <c r="D72" s="64">
        <v>147.66088165454968</v>
      </c>
      <c r="E72" s="52">
        <f t="shared" si="31"/>
        <v>120.21156104997297</v>
      </c>
      <c r="F72" t="str">
        <f t="shared" ref="F72:F84" si="32">IF(OR(B72&lt;E72,C72&lt;E72,D72&lt;E72),"problem", "good")</f>
        <v>good</v>
      </c>
      <c r="J72">
        <f>G55/10^6</f>
        <v>1.8879999999999999</v>
      </c>
      <c r="N72" s="1" t="s">
        <v>684</v>
      </c>
      <c r="O72" s="1"/>
      <c r="P72" s="1"/>
    </row>
    <row r="73" spans="1:21">
      <c r="B73" s="52">
        <v>190.96783917246282</v>
      </c>
      <c r="C73" s="52">
        <v>166.39187229820374</v>
      </c>
      <c r="D73" s="48">
        <v>167.25204154169066</v>
      </c>
      <c r="E73" s="52">
        <f t="shared" si="31"/>
        <v>130.4757601800595</v>
      </c>
      <c r="F73" t="str">
        <f t="shared" si="32"/>
        <v>good</v>
      </c>
      <c r="I73">
        <f>4/37</f>
        <v>0.10810810810810811</v>
      </c>
    </row>
    <row r="74" spans="1:21">
      <c r="B74" s="52">
        <v>206.10541160821876</v>
      </c>
      <c r="C74" s="52">
        <v>184.51452425073606</v>
      </c>
      <c r="D74" s="64">
        <v>177.70630978168171</v>
      </c>
      <c r="E74" s="52">
        <f t="shared" si="31"/>
        <v>141.93833784960628</v>
      </c>
      <c r="F74" t="str">
        <f t="shared" si="32"/>
        <v>good</v>
      </c>
    </row>
    <row r="75" spans="1:21">
      <c r="B75" s="52">
        <v>222.66977910482143</v>
      </c>
      <c r="C75" s="52">
        <v>204.95850920282837</v>
      </c>
      <c r="D75" s="64">
        <v>189.12559902003784</v>
      </c>
      <c r="E75" s="52">
        <f t="shared" si="31"/>
        <v>154.76735230253715</v>
      </c>
      <c r="F75" t="str">
        <f t="shared" si="32"/>
        <v>good</v>
      </c>
    </row>
    <row r="76" spans="1:21">
      <c r="B76" s="52">
        <v>240.82683855696553</v>
      </c>
      <c r="C76" s="52">
        <v>228.05716865688237</v>
      </c>
      <c r="D76" s="64">
        <v>201.57293385166915</v>
      </c>
      <c r="E76" s="52">
        <f t="shared" si="31"/>
        <v>169.15677770042265</v>
      </c>
      <c r="F76" t="str">
        <f t="shared" si="32"/>
        <v>good</v>
      </c>
    </row>
    <row r="77" spans="1:21">
      <c r="B77" s="52">
        <v>260.76603564227935</v>
      </c>
      <c r="C77" s="52">
        <v>254.19532389201439</v>
      </c>
      <c r="D77" s="64">
        <v>215.11761823539368</v>
      </c>
      <c r="E77" s="52">
        <f t="shared" si="31"/>
        <v>185.33069773951442</v>
      </c>
      <c r="F77" t="str">
        <f t="shared" si="32"/>
        <v>good</v>
      </c>
    </row>
    <row r="78" spans="1:21">
      <c r="B78" s="52">
        <v>282.70421238987046</v>
      </c>
      <c r="C78" s="52">
        <v>283.81758183008645</v>
      </c>
      <c r="D78" s="64">
        <v>229.83563202688984</v>
      </c>
      <c r="E78" s="52">
        <f t="shared" si="31"/>
        <v>203.54819461894633</v>
      </c>
      <c r="F78" t="str">
        <f t="shared" si="32"/>
        <v>good</v>
      </c>
    </row>
    <row r="79" spans="1:21">
      <c r="B79" s="52">
        <v>306.8901344469038</v>
      </c>
      <c r="C79" s="52">
        <v>317.43801664406385</v>
      </c>
      <c r="D79" s="64">
        <v>245.81006975858287</v>
      </c>
      <c r="E79" s="52">
        <f t="shared" si="31"/>
        <v>224.10905008846257</v>
      </c>
      <c r="F79" t="str">
        <f t="shared" si="32"/>
        <v>good</v>
      </c>
      <c r="J79" t="s">
        <v>540</v>
      </c>
      <c r="K79" t="s">
        <v>541</v>
      </c>
      <c r="L79" t="s">
        <v>542</v>
      </c>
      <c r="M79" t="s">
        <v>539</v>
      </c>
      <c r="N79" t="s">
        <v>543</v>
      </c>
      <c r="O79" t="s">
        <v>544</v>
      </c>
      <c r="P79" t="s">
        <v>545</v>
      </c>
      <c r="Q79" t="s">
        <v>546</v>
      </c>
      <c r="R79" t="s">
        <v>547</v>
      </c>
      <c r="S79" t="s">
        <v>548</v>
      </c>
      <c r="T79" t="s">
        <v>449</v>
      </c>
      <c r="U79" t="s">
        <v>214</v>
      </c>
    </row>
    <row r="80" spans="1:21">
      <c r="B80" s="52">
        <v>333.60982271491571</v>
      </c>
      <c r="C80" s="52">
        <v>355.6514587484221</v>
      </c>
      <c r="D80" s="64">
        <v>263.13162421062452</v>
      </c>
      <c r="E80" s="52">
        <f t="shared" si="31"/>
        <v>247.36039502161503</v>
      </c>
      <c r="F80" t="str">
        <f t="shared" si="32"/>
        <v>good</v>
      </c>
      <c r="J80" s="49">
        <f t="shared" ref="J80:J92" si="33">B55/10^6</f>
        <v>10.56</v>
      </c>
      <c r="K80" s="49">
        <f t="shared" ref="K80:K92" si="34">C55/10^6</f>
        <v>0.39363199999999998</v>
      </c>
      <c r="L80" s="49">
        <f t="shared" ref="L80:L92" si="35">D55/10^6</f>
        <v>0</v>
      </c>
      <c r="M80" s="49">
        <f t="shared" ref="M80:M92" si="36">E55/10^6</f>
        <v>31</v>
      </c>
      <c r="N80" s="49">
        <f t="shared" ref="N80:N92" si="37">F55/10^6</f>
        <v>0.48052</v>
      </c>
      <c r="O80" s="49">
        <f t="shared" ref="O80:O92" si="38">G55/10^6</f>
        <v>1.8879999999999999</v>
      </c>
      <c r="P80" s="49">
        <f t="shared" ref="P80:P92" si="39">H55/10^6</f>
        <v>4.0187920000000004</v>
      </c>
      <c r="Q80" s="49">
        <f t="shared" ref="Q80:Q92" si="40">I55/10^6</f>
        <v>5.968</v>
      </c>
      <c r="R80" s="49">
        <f t="shared" ref="R80:R92" si="41">J55/10^6</f>
        <v>4.481310638297872</v>
      </c>
      <c r="S80" s="49">
        <f t="shared" ref="S80:S92" si="42">K55/10^6</f>
        <v>17.219055999999998</v>
      </c>
      <c r="T80" s="49">
        <f t="shared" ref="T80:T92" si="43">L55/10^6</f>
        <v>4.9906893617021293</v>
      </c>
      <c r="U80" s="49">
        <f t="shared" ref="U80:U92" si="44">M55/10^6</f>
        <v>30</v>
      </c>
    </row>
    <row r="81" spans="2:21">
      <c r="B81" s="52">
        <v>363.19283728470526</v>
      </c>
      <c r="C81" s="52">
        <v>399.1466622404065</v>
      </c>
      <c r="D81" s="64">
        <v>281.89911760713522</v>
      </c>
      <c r="E81" s="52">
        <f t="shared" si="31"/>
        <v>273.70446701911709</v>
      </c>
      <c r="F81" t="str">
        <f t="shared" si="32"/>
        <v>good</v>
      </c>
      <c r="J81" s="49">
        <f t="shared" si="33"/>
        <v>10.9824</v>
      </c>
      <c r="K81" s="49">
        <f t="shared" si="34"/>
        <v>0.46054943999999992</v>
      </c>
      <c r="L81" s="49">
        <f t="shared" si="35"/>
        <v>0</v>
      </c>
      <c r="M81" s="49">
        <f t="shared" si="36"/>
        <v>31.954960236308192</v>
      </c>
      <c r="N81" s="49">
        <f t="shared" si="37"/>
        <v>0.56220840000000005</v>
      </c>
      <c r="O81" s="49">
        <f t="shared" si="38"/>
        <v>2.2089599999999998</v>
      </c>
      <c r="P81" s="49">
        <f t="shared" si="39"/>
        <v>4.7019866399999994</v>
      </c>
      <c r="Q81" s="49">
        <f t="shared" si="40"/>
        <v>6.3986703663180986</v>
      </c>
      <c r="R81" s="49">
        <f t="shared" si="41"/>
        <v>4.8046966460359632</v>
      </c>
      <c r="S81" s="49">
        <f t="shared" si="42"/>
        <v>20.146295519999999</v>
      </c>
      <c r="T81" s="49">
        <f t="shared" si="43"/>
        <v>5.3508338013107233</v>
      </c>
      <c r="U81" s="49">
        <f t="shared" si="44"/>
        <v>32.64</v>
      </c>
    </row>
    <row r="82" spans="2:21">
      <c r="B82" s="52">
        <v>396.01968922650929</v>
      </c>
      <c r="C82" s="52">
        <v>448.72166805322809</v>
      </c>
      <c r="D82" s="127">
        <v>302.2200835783317</v>
      </c>
      <c r="E82" s="52">
        <f t="shared" si="31"/>
        <v>303.60766251400634</v>
      </c>
      <c r="F82" t="str">
        <f t="shared" si="32"/>
        <v>problem</v>
      </c>
      <c r="J82" s="49">
        <f t="shared" si="33"/>
        <v>11.421696000000003</v>
      </c>
      <c r="K82" s="49">
        <f t="shared" si="34"/>
        <v>0.5388428448</v>
      </c>
      <c r="L82" s="49">
        <f t="shared" si="35"/>
        <v>0</v>
      </c>
      <c r="M82" s="49">
        <f t="shared" si="36"/>
        <v>32.939338184001208</v>
      </c>
      <c r="N82" s="49">
        <f t="shared" si="37"/>
        <v>0.6577838279999999</v>
      </c>
      <c r="O82" s="49">
        <f t="shared" si="38"/>
        <v>2.5844831999999998</v>
      </c>
      <c r="P82" s="49">
        <f t="shared" si="39"/>
        <v>5.5013243687999998</v>
      </c>
      <c r="Q82" s="49">
        <f t="shared" si="40"/>
        <v>6.8604193124660506</v>
      </c>
      <c r="R82" s="49">
        <f t="shared" si="41"/>
        <v>5.1514192439909996</v>
      </c>
      <c r="S82" s="49">
        <f t="shared" si="42"/>
        <v>23.571165758399996</v>
      </c>
      <c r="T82" s="49">
        <f t="shared" si="43"/>
        <v>5.7369674396012327</v>
      </c>
      <c r="U82" s="49">
        <f t="shared" si="44"/>
        <v>35.51232000000001</v>
      </c>
    </row>
    <row r="83" spans="2:21">
      <c r="B83" s="52">
        <v>432.53058861479008</v>
      </c>
      <c r="C83" s="52">
        <v>505.30173420444049</v>
      </c>
      <c r="D83" s="128">
        <v>324.21140335408944</v>
      </c>
      <c r="E83" s="52">
        <f t="shared" si="31"/>
        <v>337.61110138884254</v>
      </c>
      <c r="F83" t="str">
        <f t="shared" si="32"/>
        <v>problem</v>
      </c>
      <c r="J83" s="49">
        <f t="shared" si="33"/>
        <v>11.878563840000002</v>
      </c>
      <c r="K83" s="49">
        <f t="shared" si="34"/>
        <v>0.6304461284159999</v>
      </c>
      <c r="L83" s="49">
        <f t="shared" si="35"/>
        <v>0</v>
      </c>
      <c r="M83" s="49">
        <f t="shared" si="36"/>
        <v>33.954040060647316</v>
      </c>
      <c r="N83" s="49">
        <f t="shared" si="37"/>
        <v>0.76960707875999979</v>
      </c>
      <c r="O83" s="49">
        <f t="shared" si="38"/>
        <v>3.0238453439999997</v>
      </c>
      <c r="P83" s="49">
        <f t="shared" si="39"/>
        <v>6.4365495114959987</v>
      </c>
      <c r="Q83" s="49">
        <f t="shared" si="40"/>
        <v>7.3554895702400982</v>
      </c>
      <c r="R83" s="49">
        <f t="shared" si="41"/>
        <v>5.5231624767101195</v>
      </c>
      <c r="S83" s="49">
        <f t="shared" si="42"/>
        <v>27.578263937327996</v>
      </c>
      <c r="T83" s="49">
        <f t="shared" si="43"/>
        <v>6.1509657420087507</v>
      </c>
      <c r="U83" s="49">
        <f t="shared" si="44"/>
        <v>38.63740416000001</v>
      </c>
    </row>
    <row r="84" spans="2:21">
      <c r="B84" s="52">
        <v>473.23577616395369</v>
      </c>
      <c r="C84" s="52">
        <v>569.96026794360046</v>
      </c>
      <c r="D84" s="128">
        <v>348.00000000000023</v>
      </c>
      <c r="E84" s="52">
        <f t="shared" si="31"/>
        <v>376.34295900142001</v>
      </c>
      <c r="F84" t="str">
        <f t="shared" si="32"/>
        <v>problem</v>
      </c>
      <c r="J84" s="49">
        <f t="shared" si="33"/>
        <v>12.353706393600001</v>
      </c>
      <c r="K84" s="49">
        <f t="shared" si="34"/>
        <v>0.73762197024671983</v>
      </c>
      <c r="L84" s="49">
        <f t="shared" si="35"/>
        <v>0</v>
      </c>
      <c r="M84" s="49">
        <f t="shared" si="36"/>
        <v>35.000000000000007</v>
      </c>
      <c r="N84" s="49">
        <f t="shared" si="37"/>
        <v>0.9004402821491998</v>
      </c>
      <c r="O84" s="49">
        <f t="shared" si="38"/>
        <v>3.5378990524799989</v>
      </c>
      <c r="P84" s="49">
        <f t="shared" si="39"/>
        <v>7.5307629284503177</v>
      </c>
      <c r="Q84" s="49">
        <f t="shared" si="40"/>
        <v>7.8862857142857168</v>
      </c>
      <c r="R84" s="49">
        <f t="shared" si="41"/>
        <v>5.9217319148936181</v>
      </c>
      <c r="S84" s="49">
        <f t="shared" si="42"/>
        <v>32.266568806673753</v>
      </c>
      <c r="T84" s="49">
        <f t="shared" si="43"/>
        <v>6.5948395136778162</v>
      </c>
      <c r="U84" s="49">
        <f t="shared" si="44"/>
        <v>42.037495726080017</v>
      </c>
    </row>
    <row r="85" spans="2:21">
      <c r="E85" s="52"/>
      <c r="J85" s="49">
        <f t="shared" si="33"/>
        <v>12.847854649344002</v>
      </c>
      <c r="K85" s="49">
        <f t="shared" si="34"/>
        <v>0.86301770518866205</v>
      </c>
      <c r="L85" s="49">
        <f t="shared" si="35"/>
        <v>0</v>
      </c>
      <c r="M85" s="49">
        <f t="shared" si="36"/>
        <v>36.078180911960871</v>
      </c>
      <c r="N85" s="49">
        <f t="shared" si="37"/>
        <v>1.0535151301145635</v>
      </c>
      <c r="O85" s="49">
        <f t="shared" si="38"/>
        <v>4.1393418914015978</v>
      </c>
      <c r="P85" s="49">
        <f t="shared" si="39"/>
        <v>8.8109926262868719</v>
      </c>
      <c r="Q85" s="49">
        <f t="shared" si="40"/>
        <v>8.455385841206061</v>
      </c>
      <c r="R85" s="49">
        <f t="shared" si="41"/>
        <v>6.3490634251189535</v>
      </c>
      <c r="S85" s="49">
        <f t="shared" si="42"/>
        <v>37.751885503808282</v>
      </c>
      <c r="T85" s="49">
        <f t="shared" si="43"/>
        <v>7.0707446660177435</v>
      </c>
      <c r="U85" s="49">
        <f t="shared" si="44"/>
        <v>45.736795349975054</v>
      </c>
    </row>
    <row r="86" spans="2:21">
      <c r="J86" s="49">
        <f t="shared" si="33"/>
        <v>13.361768835317765</v>
      </c>
      <c r="K86" s="49">
        <f t="shared" si="34"/>
        <v>1.0097307150707346</v>
      </c>
      <c r="L86" s="49">
        <f t="shared" si="35"/>
        <v>0</v>
      </c>
      <c r="M86" s="49">
        <f t="shared" si="36"/>
        <v>37.189575369033641</v>
      </c>
      <c r="N86" s="49">
        <f t="shared" si="37"/>
        <v>1.2326127022340394</v>
      </c>
      <c r="O86" s="49">
        <f t="shared" si="38"/>
        <v>4.8430300129398702</v>
      </c>
      <c r="P86" s="49">
        <f t="shared" si="39"/>
        <v>10.30886137275564</v>
      </c>
      <c r="Q86" s="49">
        <f t="shared" si="40"/>
        <v>9.0655540914729986</v>
      </c>
      <c r="R86" s="49">
        <f t="shared" si="41"/>
        <v>6.8072325724166802</v>
      </c>
      <c r="S86" s="49">
        <f t="shared" si="42"/>
        <v>44.169706039455697</v>
      </c>
      <c r="T86" s="49">
        <f t="shared" si="43"/>
        <v>7.5809926880444882</v>
      </c>
      <c r="U86" s="49">
        <f t="shared" si="44"/>
        <v>49.76163334077286</v>
      </c>
    </row>
    <row r="87" spans="2:21">
      <c r="J87" s="49">
        <f t="shared" si="33"/>
        <v>13.896239588730474</v>
      </c>
      <c r="K87" s="49">
        <f t="shared" si="34"/>
        <v>1.1813849366327593</v>
      </c>
      <c r="L87" s="49">
        <f t="shared" si="35"/>
        <v>0</v>
      </c>
      <c r="M87" s="49">
        <f t="shared" si="36"/>
        <v>38.335206520085691</v>
      </c>
      <c r="N87" s="49">
        <f t="shared" si="37"/>
        <v>1.4421568616138258</v>
      </c>
      <c r="O87" s="49">
        <f t="shared" si="38"/>
        <v>5.6663451151396478</v>
      </c>
      <c r="P87" s="49">
        <f t="shared" si="39"/>
        <v>12.061367806124096</v>
      </c>
      <c r="Q87" s="49">
        <f t="shared" si="40"/>
        <v>9.7197540749601323</v>
      </c>
      <c r="R87" s="49">
        <f t="shared" si="41"/>
        <v>7.298464701366945</v>
      </c>
      <c r="S87" s="49">
        <f t="shared" si="42"/>
        <v>51.678556066163154</v>
      </c>
      <c r="T87" s="49">
        <f t="shared" si="43"/>
        <v>8.1280618733687078</v>
      </c>
      <c r="U87" s="49">
        <f t="shared" si="44"/>
        <v>54.140657074760881</v>
      </c>
    </row>
    <row r="88" spans="2:21">
      <c r="J88" s="49">
        <f t="shared" si="33"/>
        <v>14.452089172279695</v>
      </c>
      <c r="K88" s="49">
        <f t="shared" si="34"/>
        <v>1.3822203758603284</v>
      </c>
      <c r="L88" s="49">
        <f t="shared" si="35"/>
        <v>0</v>
      </c>
      <c r="M88" s="49">
        <f t="shared" si="36"/>
        <v>39.516129032258085</v>
      </c>
      <c r="N88" s="49">
        <f t="shared" si="37"/>
        <v>1.6873235280881762</v>
      </c>
      <c r="O88" s="49">
        <f t="shared" si="38"/>
        <v>6.6296237847133863</v>
      </c>
      <c r="P88" s="49">
        <f t="shared" si="39"/>
        <v>14.111800333165192</v>
      </c>
      <c r="Q88" s="49">
        <f t="shared" si="40"/>
        <v>10.421163265306129</v>
      </c>
      <c r="R88" s="49">
        <f t="shared" si="41"/>
        <v>7.8251457446808548</v>
      </c>
      <c r="S88" s="49">
        <f t="shared" si="42"/>
        <v>60.463910597410887</v>
      </c>
      <c r="T88" s="49">
        <f t="shared" si="43"/>
        <v>8.7146093573599739</v>
      </c>
      <c r="U88" s="49">
        <f t="shared" si="44"/>
        <v>58.905034897339846</v>
      </c>
    </row>
    <row r="89" spans="2:21">
      <c r="B89" t="s">
        <v>937</v>
      </c>
      <c r="C89" t="s">
        <v>938</v>
      </c>
      <c r="E89" t="s">
        <v>951</v>
      </c>
      <c r="F89" t="s">
        <v>952</v>
      </c>
      <c r="J89" s="49">
        <f t="shared" si="33"/>
        <v>15.030172739170883</v>
      </c>
      <c r="K89" s="49">
        <f t="shared" si="34"/>
        <v>1.6171978397565838</v>
      </c>
      <c r="L89" s="49">
        <f t="shared" si="35"/>
        <v>0</v>
      </c>
      <c r="M89" s="49">
        <f t="shared" si="36"/>
        <v>40.733430061891319</v>
      </c>
      <c r="N89" s="49">
        <f t="shared" si="37"/>
        <v>1.9741685278631658</v>
      </c>
      <c r="O89" s="49">
        <f t="shared" si="38"/>
        <v>7.7566598281146613</v>
      </c>
      <c r="P89" s="49">
        <f t="shared" si="39"/>
        <v>16.510806389803271</v>
      </c>
      <c r="Q89" s="49">
        <f t="shared" si="40"/>
        <v>11.173188433022299</v>
      </c>
      <c r="R89" s="49">
        <f t="shared" si="41"/>
        <v>8.3898338117643352</v>
      </c>
      <c r="S89" s="49">
        <f t="shared" si="42"/>
        <v>70.742775398970721</v>
      </c>
      <c r="T89" s="49">
        <f t="shared" si="43"/>
        <v>9.3434840229520226</v>
      </c>
      <c r="U89" s="49">
        <f t="shared" si="44"/>
        <v>64.088677968305745</v>
      </c>
    </row>
    <row r="90" spans="2:21">
      <c r="B90" s="12">
        <f t="shared" ref="B90:B103" si="45">SUM(C55,F55:H55,K55)/10^6</f>
        <v>24</v>
      </c>
      <c r="C90" s="12">
        <f>SUM('heat pump production'!C140,'heat pump production'!F140:H140,'heat pump production'!K140)</f>
        <v>25</v>
      </c>
      <c r="D90">
        <f t="shared" ref="D90:D102" si="46">B90*0.4</f>
        <v>9.6000000000000014</v>
      </c>
      <c r="E90">
        <f t="shared" ref="E90:E103" si="47">SUM(I55:J55,B55)/10^6</f>
        <v>21.009310638297872</v>
      </c>
      <c r="F90">
        <f>SUM('heat pump production'!B140,'heat pump production'!I140:J140)</f>
        <v>18.112000000000002</v>
      </c>
      <c r="J90" s="49">
        <f t="shared" si="33"/>
        <v>15.631379648737719</v>
      </c>
      <c r="K90" s="49">
        <f t="shared" si="34"/>
        <v>1.8921214725152034</v>
      </c>
      <c r="L90" s="49">
        <f t="shared" si="35"/>
        <v>0</v>
      </c>
      <c r="M90" s="49">
        <f t="shared" si="36"/>
        <v>41.988230255360577</v>
      </c>
      <c r="N90" s="49">
        <f t="shared" si="37"/>
        <v>2.3097771775999041</v>
      </c>
      <c r="O90" s="49">
        <f t="shared" si="38"/>
        <v>9.0752919988941549</v>
      </c>
      <c r="P90" s="49">
        <f t="shared" si="39"/>
        <v>19.317643476069829</v>
      </c>
      <c r="Q90" s="49">
        <f t="shared" si="40"/>
        <v>11.979482192303607</v>
      </c>
      <c r="R90" s="49">
        <f t="shared" si="41"/>
        <v>8.9952716135506154</v>
      </c>
      <c r="S90" s="49">
        <f t="shared" si="42"/>
        <v>82.769047216795755</v>
      </c>
      <c r="T90" s="49">
        <f t="shared" si="43"/>
        <v>10.017740337773075</v>
      </c>
      <c r="U90" s="49">
        <f t="shared" si="44"/>
        <v>69.728481629516665</v>
      </c>
    </row>
    <row r="91" spans="2:21">
      <c r="B91" s="12">
        <f t="shared" si="45"/>
        <v>28.08</v>
      </c>
      <c r="C91" s="12">
        <f>SUM('heat pump production'!C141,'heat pump production'!F141:H141,'heat pump production'!K141)</f>
        <v>26.45663843061341</v>
      </c>
      <c r="D91">
        <f t="shared" si="46"/>
        <v>11.231999999999999</v>
      </c>
      <c r="E91">
        <f t="shared" si="47"/>
        <v>22.185767012354059</v>
      </c>
      <c r="F91">
        <f>SUM('heat pump production'!B141,'heat pump production'!I141:J141)</f>
        <v>19.421877492337156</v>
      </c>
      <c r="J91" s="49">
        <f t="shared" si="33"/>
        <v>16.256634834687226</v>
      </c>
      <c r="K91" s="49">
        <f t="shared" si="34"/>
        <v>2.2137821228427876</v>
      </c>
      <c r="L91" s="49">
        <f t="shared" si="35"/>
        <v>0</v>
      </c>
      <c r="M91" s="49">
        <f t="shared" si="36"/>
        <v>43.281684780741919</v>
      </c>
      <c r="N91" s="49">
        <f t="shared" si="37"/>
        <v>2.7024392977918876</v>
      </c>
      <c r="O91" s="49">
        <f t="shared" si="38"/>
        <v>10.618091638706161</v>
      </c>
      <c r="P91" s="49">
        <f t="shared" si="39"/>
        <v>22.601642867001697</v>
      </c>
      <c r="Q91" s="49">
        <f t="shared" si="40"/>
        <v>12.843960741911607</v>
      </c>
      <c r="R91" s="49">
        <f t="shared" si="41"/>
        <v>9.6443997839491793</v>
      </c>
      <c r="S91" s="49">
        <f t="shared" si="42"/>
        <v>96.839785243651036</v>
      </c>
      <c r="T91" s="49">
        <f t="shared" si="43"/>
        <v>10.740653189808654</v>
      </c>
      <c r="U91" s="49">
        <f t="shared" si="44"/>
        <v>75.864588012914155</v>
      </c>
    </row>
    <row r="92" spans="2:21">
      <c r="B92" s="12">
        <f t="shared" si="45"/>
        <v>32.853599999999993</v>
      </c>
      <c r="C92" s="12">
        <f>SUM('heat pump production'!C142,'heat pump production'!F142:H142,'heat pump production'!K142)</f>
        <v>27.99814868192842</v>
      </c>
      <c r="D92">
        <f t="shared" si="46"/>
        <v>13.141439999999998</v>
      </c>
      <c r="E92">
        <f t="shared" si="47"/>
        <v>23.433534556457051</v>
      </c>
      <c r="F92">
        <f>SUM('heat pump production'!B142,'heat pump production'!I142:J142)</f>
        <v>20.828984123063449</v>
      </c>
      <c r="J92" s="49">
        <f t="shared" si="33"/>
        <v>16.906900228074718</v>
      </c>
      <c r="K92" s="49">
        <f t="shared" si="34"/>
        <v>2.5901250837260612</v>
      </c>
      <c r="L92" s="49">
        <f t="shared" si="35"/>
        <v>0</v>
      </c>
      <c r="M92" s="49">
        <f t="shared" si="36"/>
        <v>44.614984391259149</v>
      </c>
      <c r="N92" s="49">
        <f t="shared" si="37"/>
        <v>3.1618539784165081</v>
      </c>
      <c r="O92" s="49">
        <f t="shared" si="38"/>
        <v>12.423167217286204</v>
      </c>
      <c r="P92" s="49">
        <f t="shared" si="39"/>
        <v>26.443922154391981</v>
      </c>
      <c r="Q92" s="49">
        <f t="shared" si="40"/>
        <v>13.77082288629739</v>
      </c>
      <c r="R92" s="49">
        <f t="shared" si="41"/>
        <v>10.340371162613991</v>
      </c>
      <c r="S92" s="49">
        <f t="shared" si="42"/>
        <v>113.30254873507167</v>
      </c>
      <c r="T92" s="49">
        <f t="shared" si="43"/>
        <v>11.515733793654256</v>
      </c>
      <c r="U92" s="49">
        <f t="shared" si="44"/>
        <v>82.540671758050593</v>
      </c>
    </row>
    <row r="93" spans="2:21">
      <c r="B93" s="12">
        <f t="shared" si="45"/>
        <v>38.438711999999995</v>
      </c>
      <c r="C93" s="12">
        <f>SUM('heat pump production'!C143,'heat pump production'!F143:H143,'heat pump production'!K143)</f>
        <v>29.629475856173421</v>
      </c>
      <c r="D93">
        <f t="shared" si="46"/>
        <v>15.375484799999999</v>
      </c>
      <c r="E93">
        <f t="shared" si="47"/>
        <v>24.757215886950217</v>
      </c>
      <c r="F93">
        <f>SUM('heat pump production'!B143,'heat pump production'!I143:J143)</f>
        <v>22.340642777626254</v>
      </c>
      <c r="J93" s="49">
        <f>B68/10^6</f>
        <v>17.583176237197709</v>
      </c>
      <c r="K93" s="49">
        <f t="shared" ref="K93:U93" si="48">C68/10^6</f>
        <v>3.0304463479594914</v>
      </c>
      <c r="L93" s="49">
        <f t="shared" si="48"/>
        <v>0</v>
      </c>
      <c r="M93" s="49">
        <f t="shared" si="48"/>
        <v>45.989356521490201</v>
      </c>
      <c r="N93" s="49">
        <f t="shared" si="48"/>
        <v>3.6993691547473144</v>
      </c>
      <c r="O93" s="49">
        <f t="shared" si="48"/>
        <v>14.53510564422486</v>
      </c>
      <c r="P93" s="49">
        <f t="shared" si="48"/>
        <v>30.939388920638617</v>
      </c>
      <c r="Q93" s="49">
        <f t="shared" si="48"/>
        <v>14.764570429350897</v>
      </c>
      <c r="R93" s="49">
        <f t="shared" si="48"/>
        <v>11.086566108402874</v>
      </c>
      <c r="S93" s="49">
        <f t="shared" si="48"/>
        <v>132.56398202003385</v>
      </c>
      <c r="T93" s="49">
        <f t="shared" si="48"/>
        <v>12.346746744615174</v>
      </c>
      <c r="U93" s="49">
        <f t="shared" si="48"/>
        <v>89.804250872759056</v>
      </c>
    </row>
    <row r="94" spans="2:21">
      <c r="B94" s="12">
        <f t="shared" si="45"/>
        <v>44.973293039999994</v>
      </c>
      <c r="C94" s="12">
        <f>SUM('heat pump production'!C144,'heat pump production'!F144:H144,'heat pump production'!K144)</f>
        <v>31.355853184614805</v>
      </c>
      <c r="D94">
        <f t="shared" si="46"/>
        <v>17.989317216</v>
      </c>
      <c r="E94">
        <f t="shared" si="47"/>
        <v>26.161724022779339</v>
      </c>
      <c r="F94">
        <f>SUM('heat pump production'!B144,'heat pump production'!I144:J144)</f>
        <v>23.964732236376435</v>
      </c>
    </row>
    <row r="95" spans="2:21">
      <c r="B95" s="12">
        <f t="shared" si="45"/>
        <v>52.618752856799972</v>
      </c>
      <c r="C95" s="12">
        <f>SUM('heat pump production'!C145,'heat pump production'!F145:H145,'heat pump production'!K145)</f>
        <v>33.182818815550078</v>
      </c>
      <c r="D95">
        <f t="shared" si="46"/>
        <v>21.047501142719991</v>
      </c>
      <c r="E95">
        <f t="shared" si="47"/>
        <v>27.652303915669016</v>
      </c>
      <c r="F95">
        <f>SUM('heat pump production'!B145,'heat pump production'!I145:J145)</f>
        <v>25.709729551264587</v>
      </c>
    </row>
    <row r="96" spans="2:21">
      <c r="B96" s="12">
        <f t="shared" si="45"/>
        <v>61.563940842455985</v>
      </c>
      <c r="C96" s="12">
        <f>SUM('heat pump production'!C146,'heat pump production'!F146:H146,'heat pump production'!K146)</f>
        <v>35.116233580462563</v>
      </c>
      <c r="D96">
        <f t="shared" si="46"/>
        <v>24.625576336982395</v>
      </c>
      <c r="E96">
        <f t="shared" si="47"/>
        <v>29.234555499207445</v>
      </c>
      <c r="F96">
        <f>SUM('heat pump production'!B146,'heat pump production'!I146:J146)</f>
        <v>27.584755660143244</v>
      </c>
    </row>
    <row r="97" spans="2:8">
      <c r="B97" s="12">
        <f t="shared" si="45"/>
        <v>72.02981078567349</v>
      </c>
      <c r="C97" s="12">
        <f>SUM('heat pump production'!C147,'heat pump production'!F147:H147,'heat pump production'!K147)</f>
        <v>37.162299795330519</v>
      </c>
      <c r="D97">
        <f t="shared" si="46"/>
        <v>28.811924314269397</v>
      </c>
      <c r="E97">
        <f t="shared" si="47"/>
        <v>30.914458365057552</v>
      </c>
      <c r="F97">
        <f>SUM('heat pump production'!B147,'heat pump production'!I147:J147)</f>
        <v>29.599624486317985</v>
      </c>
    </row>
    <row r="98" spans="2:8">
      <c r="B98" s="12">
        <f t="shared" si="45"/>
        <v>84.274878619237981</v>
      </c>
      <c r="C98" s="12">
        <f>SUM('heat pump production'!C148,'heat pump production'!F148:H148,'heat pump production'!K148)</f>
        <v>39.327581157404737</v>
      </c>
      <c r="D98">
        <f t="shared" si="46"/>
        <v>33.709951447695197</v>
      </c>
      <c r="E98">
        <f t="shared" si="47"/>
        <v>32.698398182266672</v>
      </c>
      <c r="F98">
        <f>SUM('heat pump production'!B148,'heat pump production'!I148:J148)</f>
        <v>31.764895789944468</v>
      </c>
    </row>
    <row r="99" spans="2:8">
      <c r="B99" s="12">
        <f t="shared" si="45"/>
        <v>98.601607984508405</v>
      </c>
      <c r="C99" s="12">
        <f>SUM('heat pump production'!C149,'heat pump production'!F149:H149,'heat pump production'!K149)</f>
        <v>41.619023801282481</v>
      </c>
      <c r="D99">
        <f t="shared" si="46"/>
        <v>39.440643193803368</v>
      </c>
      <c r="E99">
        <f t="shared" si="47"/>
        <v>34.593194983957517</v>
      </c>
      <c r="F99">
        <f>SUM('heat pump production'!B149,'heat pump production'!I149:J149)</f>
        <v>34.091932058272711</v>
      </c>
    </row>
    <row r="100" spans="2:8">
      <c r="B100" s="12">
        <f t="shared" si="45"/>
        <v>115.36388134187486</v>
      </c>
      <c r="C100" s="12">
        <f>SUM('heat pump production'!C150,'heat pump production'!F150:H150,'heat pump production'!K150)</f>
        <v>44.043978581824973</v>
      </c>
      <c r="D100">
        <f t="shared" si="46"/>
        <v>46.145552536749946</v>
      </c>
      <c r="E100">
        <f t="shared" si="47"/>
        <v>36.606133454591948</v>
      </c>
      <c r="F100">
        <f>SUM('heat pump production'!B150,'heat pump production'!I150:J150)</f>
        <v>36.592959743707404</v>
      </c>
    </row>
    <row r="101" spans="2:8">
      <c r="B101" s="12">
        <f t="shared" si="45"/>
        <v>134.97574116999357</v>
      </c>
      <c r="C101" s="12">
        <f>SUM('heat pump production'!C151,'heat pump production'!F151:H151,'heat pump production'!K151)</f>
        <v>46.610224655400984</v>
      </c>
      <c r="D101">
        <f t="shared" si="46"/>
        <v>53.990296467997432</v>
      </c>
      <c r="E101">
        <f t="shared" si="47"/>
        <v>38.74499536054801</v>
      </c>
      <c r="F101">
        <f>SUM('heat pump production'!B151,'heat pump production'!I151:J151)</f>
        <v>39.281135182301483</v>
      </c>
    </row>
    <row r="102" spans="2:8">
      <c r="B102" s="12">
        <f t="shared" si="45"/>
        <v>157.92161716889245</v>
      </c>
      <c r="C102" s="12">
        <f>SUM('heat pump production'!C152,'heat pump production'!F152:H152,'heat pump production'!K152)</f>
        <v>49.325994435104249</v>
      </c>
      <c r="D102">
        <f t="shared" si="46"/>
        <v>63.168646867556987</v>
      </c>
      <c r="E102">
        <f t="shared" si="47"/>
        <v>41.018094276986098</v>
      </c>
      <c r="F102">
        <f>SUM('heat pump production'!B152,'heat pump production'!I152:J152)</f>
        <v>42.170615550759976</v>
      </c>
      <c r="H102">
        <f>F102*0.4</f>
        <v>16.868246220303991</v>
      </c>
    </row>
    <row r="103" spans="2:8">
      <c r="B103" s="12">
        <f>SUM(C68,F68:H68,K68)/10^6</f>
        <v>184.76829208760412</v>
      </c>
      <c r="C103" s="12">
        <f>SUM('heat pump production'!C153,'heat pump production'!F153:H153,'heat pump production'!K153)</f>
        <v>52.200000000000102</v>
      </c>
      <c r="D103">
        <f>B103*0.4</f>
        <v>73.907316835041655</v>
      </c>
      <c r="E103">
        <f t="shared" si="47"/>
        <v>43.434312774951479</v>
      </c>
      <c r="F103">
        <f>SUM('heat pump production'!B153,'heat pump production'!I153:J153)</f>
        <v>45.276635247439572</v>
      </c>
      <c r="H103">
        <f>F103*0.4</f>
        <v>18.110654098975829</v>
      </c>
    </row>
    <row r="104" spans="2:8">
      <c r="B104" s="12"/>
    </row>
    <row r="105" spans="2:8">
      <c r="B105" s="12"/>
    </row>
  </sheetData>
  <mergeCells count="1">
    <mergeCell ref="A36:M36"/>
  </mergeCells>
  <phoneticPr fontId="2" type="noConversion"/>
  <hyperlinks>
    <hyperlink ref="K12" r:id="rId1" xr:uid="{95E1F871-A540-0246-9F28-058D1FA792E2}"/>
    <hyperlink ref="J20" r:id="rId2" display="https://eur-lex.europa.eu/legal-content/EN/TXT/?uri=CELEX%3A52022DC0643&amp;qid=1669913060946" xr:uid="{89F55BA2-6FA9-C846-82AF-3979C06A16F4}"/>
    <hyperlink ref="K9" r:id="rId3" xr:uid="{E5F10017-E409-9941-911E-534127C22782}"/>
    <hyperlink ref="K8" r:id="rId4" xr:uid="{5A3D56CF-7698-2042-9C51-EC0742782BCF}"/>
    <hyperlink ref="K3" r:id="rId5" xr:uid="{43BA4F52-970A-8A41-A587-AA647E4AAEDA}"/>
    <hyperlink ref="K10" r:id="rId6" location=":~:text=Single%20split%20system%20sales%20were,commercial%20heat%20pumps%20is%20small." xr:uid="{6E7DBB5A-CD7B-9140-A077-D5DD53087014}"/>
  </hyperlinks>
  <pageMargins left="0.7" right="0.7" top="0.78740157499999996" bottom="0.78740157499999996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6875-ECE9-3A46-813A-3054FF708E13}">
  <dimension ref="A1:P33"/>
  <sheetViews>
    <sheetView workbookViewId="0">
      <selection activeCell="K39" sqref="K39"/>
    </sheetView>
  </sheetViews>
  <sheetFormatPr baseColWidth="10" defaultRowHeight="16"/>
  <cols>
    <col min="2" max="3" width="12.1640625" bestFit="1" customWidth="1"/>
    <col min="11" max="11" width="29.6640625" bestFit="1" customWidth="1"/>
  </cols>
  <sheetData>
    <row r="1" spans="1:16">
      <c r="A1" s="22" t="s">
        <v>232</v>
      </c>
      <c r="B1" s="22" t="s">
        <v>233</v>
      </c>
      <c r="C1" s="22" t="s">
        <v>24</v>
      </c>
      <c r="D1" s="22" t="s">
        <v>234</v>
      </c>
      <c r="E1" s="22" t="s">
        <v>26</v>
      </c>
      <c r="F1" s="23">
        <v>2020</v>
      </c>
      <c r="G1" s="23">
        <v>2030</v>
      </c>
      <c r="H1" s="23">
        <v>2050</v>
      </c>
      <c r="I1" s="1" t="s">
        <v>129</v>
      </c>
      <c r="J1" s="71" t="s">
        <v>781</v>
      </c>
      <c r="K1" t="s">
        <v>929</v>
      </c>
      <c r="M1" t="s">
        <v>469</v>
      </c>
    </row>
    <row r="2" spans="1:16">
      <c r="A2" s="24" t="s">
        <v>235</v>
      </c>
      <c r="B2" s="24" t="s">
        <v>236</v>
      </c>
      <c r="C2" s="24" t="s">
        <v>237</v>
      </c>
      <c r="D2" s="24" t="s">
        <v>238</v>
      </c>
      <c r="E2" s="24" t="s">
        <v>239</v>
      </c>
      <c r="F2" s="24">
        <v>59658</v>
      </c>
      <c r="G2" s="24">
        <v>154180.02849999999</v>
      </c>
      <c r="H2" s="24">
        <v>233490.30410000001</v>
      </c>
      <c r="I2" t="s">
        <v>254</v>
      </c>
      <c r="M2" t="s">
        <v>139</v>
      </c>
      <c r="N2" t="s">
        <v>471</v>
      </c>
    </row>
    <row r="3" spans="1:16">
      <c r="A3" s="24" t="s">
        <v>235</v>
      </c>
      <c r="B3" s="24" t="s">
        <v>236</v>
      </c>
      <c r="C3" s="24" t="s">
        <v>237</v>
      </c>
      <c r="D3" s="24" t="s">
        <v>240</v>
      </c>
      <c r="E3" s="24" t="s">
        <v>239</v>
      </c>
      <c r="F3" s="24">
        <v>59658</v>
      </c>
      <c r="G3" s="24">
        <v>369093.99099999998</v>
      </c>
      <c r="H3" s="24">
        <v>584188.59889999998</v>
      </c>
      <c r="I3" t="s">
        <v>255</v>
      </c>
      <c r="N3">
        <v>2030</v>
      </c>
      <c r="O3">
        <v>2050</v>
      </c>
    </row>
    <row r="4" spans="1:16">
      <c r="A4" s="24" t="s">
        <v>235</v>
      </c>
      <c r="B4" s="24" t="s">
        <v>236</v>
      </c>
      <c r="C4" s="24" t="s">
        <v>241</v>
      </c>
      <c r="D4" s="24" t="s">
        <v>238</v>
      </c>
      <c r="E4" s="24" t="s">
        <v>239</v>
      </c>
      <c r="F4" s="24">
        <v>3.7789999999999998E-3</v>
      </c>
      <c r="G4" s="24">
        <v>0.91383840000000005</v>
      </c>
      <c r="H4" s="24">
        <v>1.7557811999999999</v>
      </c>
      <c r="I4" t="s">
        <v>256</v>
      </c>
      <c r="M4" t="s">
        <v>213</v>
      </c>
      <c r="N4" t="s">
        <v>470</v>
      </c>
      <c r="O4" t="s">
        <v>472</v>
      </c>
      <c r="P4" t="s">
        <v>465</v>
      </c>
    </row>
    <row r="5" spans="1:16">
      <c r="A5" s="24" t="s">
        <v>235</v>
      </c>
      <c r="B5" s="24" t="s">
        <v>236</v>
      </c>
      <c r="C5" s="24" t="s">
        <v>241</v>
      </c>
      <c r="D5" s="24" t="s">
        <v>240</v>
      </c>
      <c r="E5" s="24" t="s">
        <v>239</v>
      </c>
      <c r="F5" s="24">
        <v>3.7789999999999998E-3</v>
      </c>
      <c r="G5" s="24">
        <v>2.1826815800000001</v>
      </c>
      <c r="H5" s="24">
        <v>6.7155031200000002</v>
      </c>
      <c r="I5" t="s">
        <v>257</v>
      </c>
      <c r="P5" t="s">
        <v>473</v>
      </c>
    </row>
    <row r="6" spans="1:16">
      <c r="A6" s="24" t="s">
        <v>235</v>
      </c>
      <c r="B6" s="24" t="s">
        <v>236</v>
      </c>
      <c r="C6" s="24" t="s">
        <v>179</v>
      </c>
      <c r="D6" s="24" t="s">
        <v>238</v>
      </c>
      <c r="E6" s="24" t="s">
        <v>239</v>
      </c>
      <c r="F6" s="24">
        <v>1.9222E-2</v>
      </c>
      <c r="G6" s="24">
        <v>0.91383840000000005</v>
      </c>
      <c r="H6" s="24">
        <v>1.7557811999999999</v>
      </c>
      <c r="I6" t="s">
        <v>258</v>
      </c>
    </row>
    <row r="7" spans="1:16">
      <c r="A7" s="24" t="s">
        <v>235</v>
      </c>
      <c r="B7" s="24" t="s">
        <v>236</v>
      </c>
      <c r="C7" s="24" t="s">
        <v>179</v>
      </c>
      <c r="D7" s="24" t="s">
        <v>240</v>
      </c>
      <c r="E7" s="24" t="s">
        <v>239</v>
      </c>
      <c r="F7" s="24">
        <v>1.9222E-2</v>
      </c>
      <c r="G7" s="24">
        <v>2.1826815800000001</v>
      </c>
      <c r="H7" s="24">
        <v>6.7155031200000002</v>
      </c>
      <c r="I7" t="s">
        <v>259</v>
      </c>
    </row>
    <row r="8" spans="1:16">
      <c r="A8" s="24" t="s">
        <v>214</v>
      </c>
      <c r="B8" s="24" t="s">
        <v>236</v>
      </c>
      <c r="C8" s="24" t="s">
        <v>237</v>
      </c>
      <c r="D8" s="24" t="s">
        <v>238</v>
      </c>
      <c r="E8" s="24" t="s">
        <v>239</v>
      </c>
      <c r="F8" s="24">
        <v>125172</v>
      </c>
      <c r="G8" s="24">
        <v>133658.83530000001</v>
      </c>
      <c r="H8" s="24">
        <v>151841.65</v>
      </c>
      <c r="I8" t="s">
        <v>260</v>
      </c>
    </row>
    <row r="9" spans="1:16">
      <c r="A9" s="24" t="s">
        <v>214</v>
      </c>
      <c r="B9" s="24" t="s">
        <v>236</v>
      </c>
      <c r="C9" s="24" t="s">
        <v>237</v>
      </c>
      <c r="D9" s="24" t="s">
        <v>240</v>
      </c>
      <c r="E9" s="24" t="s">
        <v>239</v>
      </c>
      <c r="F9" s="24">
        <v>125172</v>
      </c>
      <c r="G9" s="24">
        <v>232583.43160000001</v>
      </c>
      <c r="H9" s="24">
        <v>312724.65710000001</v>
      </c>
      <c r="I9" t="s">
        <v>261</v>
      </c>
    </row>
    <row r="10" spans="1:16">
      <c r="A10" s="24" t="s">
        <v>214</v>
      </c>
      <c r="B10" s="24" t="s">
        <v>236</v>
      </c>
      <c r="C10" s="24" t="s">
        <v>241</v>
      </c>
      <c r="D10" s="24" t="s">
        <v>238</v>
      </c>
      <c r="E10" s="24" t="s">
        <v>239</v>
      </c>
      <c r="F10" s="24">
        <v>61902</v>
      </c>
      <c r="G10" s="24">
        <v>66099.041509999995</v>
      </c>
      <c r="H10" s="24">
        <v>75091.089200000002</v>
      </c>
      <c r="I10" t="s">
        <v>262</v>
      </c>
    </row>
    <row r="11" spans="1:16">
      <c r="A11" s="24" t="s">
        <v>214</v>
      </c>
      <c r="B11" s="24" t="s">
        <v>236</v>
      </c>
      <c r="C11" s="24" t="s">
        <v>241</v>
      </c>
      <c r="D11" s="24" t="s">
        <v>240</v>
      </c>
      <c r="E11" s="24" t="s">
        <v>239</v>
      </c>
      <c r="F11" s="24">
        <v>61902</v>
      </c>
      <c r="G11" s="24">
        <v>115020.7681</v>
      </c>
      <c r="H11" s="24">
        <v>154653.45060000001</v>
      </c>
      <c r="I11" t="s">
        <v>263</v>
      </c>
    </row>
    <row r="12" spans="1:16">
      <c r="A12" s="24" t="s">
        <v>214</v>
      </c>
      <c r="B12" s="24" t="s">
        <v>236</v>
      </c>
      <c r="C12" s="24" t="s">
        <v>179</v>
      </c>
      <c r="D12" s="24" t="s">
        <v>238</v>
      </c>
      <c r="E12" s="24" t="s">
        <v>239</v>
      </c>
      <c r="F12" s="24">
        <v>536940</v>
      </c>
      <c r="G12" s="24">
        <v>573345.27720000001</v>
      </c>
      <c r="H12" s="24">
        <v>651342.5969</v>
      </c>
      <c r="I12" t="s">
        <v>264</v>
      </c>
    </row>
    <row r="13" spans="1:16">
      <c r="A13" s="24" t="s">
        <v>214</v>
      </c>
      <c r="B13" s="24" t="s">
        <v>236</v>
      </c>
      <c r="C13" s="24" t="s">
        <v>179</v>
      </c>
      <c r="D13" s="24" t="s">
        <v>240</v>
      </c>
      <c r="E13" s="24" t="s">
        <v>239</v>
      </c>
      <c r="F13" s="24">
        <v>536940</v>
      </c>
      <c r="G13" s="24">
        <v>997693.95530000003</v>
      </c>
      <c r="H13" s="24">
        <v>1341469.1580000001</v>
      </c>
      <c r="I13" t="s">
        <v>265</v>
      </c>
    </row>
    <row r="14" spans="1:16">
      <c r="A14" s="24" t="s">
        <v>5</v>
      </c>
      <c r="B14" s="24" t="s">
        <v>236</v>
      </c>
      <c r="C14" s="24" t="s">
        <v>237</v>
      </c>
      <c r="D14" s="24" t="s">
        <v>238</v>
      </c>
      <c r="E14" s="24" t="s">
        <v>239</v>
      </c>
      <c r="F14" s="24">
        <v>71004</v>
      </c>
      <c r="G14" s="24">
        <v>81768.074299999993</v>
      </c>
      <c r="H14" s="24">
        <v>85804.319340000002</v>
      </c>
      <c r="I14" t="s">
        <v>266</v>
      </c>
    </row>
    <row r="15" spans="1:16">
      <c r="A15" s="24" t="s">
        <v>5</v>
      </c>
      <c r="B15" s="24" t="s">
        <v>236</v>
      </c>
      <c r="C15" s="24" t="s">
        <v>237</v>
      </c>
      <c r="D15" s="24" t="s">
        <v>240</v>
      </c>
      <c r="E15" s="24" t="s">
        <v>239</v>
      </c>
      <c r="F15" s="24">
        <v>71004</v>
      </c>
      <c r="G15" s="24">
        <v>136862.394</v>
      </c>
      <c r="H15" s="24">
        <v>199519.86079999999</v>
      </c>
      <c r="I15" t="s">
        <v>267</v>
      </c>
    </row>
    <row r="16" spans="1:16">
      <c r="A16" s="24" t="s">
        <v>5</v>
      </c>
      <c r="B16" s="24" t="s">
        <v>236</v>
      </c>
      <c r="C16" s="24" t="s">
        <v>241</v>
      </c>
      <c r="D16" s="24" t="s">
        <v>238</v>
      </c>
      <c r="E16" s="24" t="s">
        <v>239</v>
      </c>
      <c r="F16" s="24">
        <v>35114</v>
      </c>
      <c r="G16" s="24">
        <v>40437.217069999999</v>
      </c>
      <c r="H16" s="24">
        <v>42433.283609999999</v>
      </c>
      <c r="I16" t="s">
        <v>268</v>
      </c>
    </row>
    <row r="17" spans="1:9">
      <c r="A17" s="24" t="s">
        <v>5</v>
      </c>
      <c r="B17" s="24" t="s">
        <v>236</v>
      </c>
      <c r="C17" s="24" t="s">
        <v>241</v>
      </c>
      <c r="D17" s="24" t="s">
        <v>240</v>
      </c>
      <c r="E17" s="24" t="s">
        <v>239</v>
      </c>
      <c r="F17" s="24">
        <v>35114</v>
      </c>
      <c r="G17" s="24">
        <v>67683.315050000005</v>
      </c>
      <c r="H17" s="24">
        <v>98669.657949999993</v>
      </c>
      <c r="I17" t="s">
        <v>269</v>
      </c>
    </row>
    <row r="18" spans="1:9">
      <c r="A18" s="24" t="s">
        <v>5</v>
      </c>
      <c r="B18" s="24" t="s">
        <v>236</v>
      </c>
      <c r="C18" s="24" t="s">
        <v>179</v>
      </c>
      <c r="D18" s="24" t="s">
        <v>238</v>
      </c>
      <c r="E18" s="24" t="s">
        <v>239</v>
      </c>
      <c r="F18" s="24">
        <v>304580</v>
      </c>
      <c r="G18" s="24">
        <v>350753.76130000001</v>
      </c>
      <c r="H18" s="24">
        <v>368067.70870000002</v>
      </c>
      <c r="I18" t="s">
        <v>270</v>
      </c>
    </row>
    <row r="19" spans="1:9">
      <c r="A19" s="24" t="s">
        <v>5</v>
      </c>
      <c r="B19" s="24" t="s">
        <v>236</v>
      </c>
      <c r="C19" s="24" t="s">
        <v>179</v>
      </c>
      <c r="D19" s="24" t="s">
        <v>240</v>
      </c>
      <c r="E19" s="24" t="s">
        <v>239</v>
      </c>
      <c r="F19" s="24">
        <v>304580</v>
      </c>
      <c r="G19" s="24">
        <v>587087.31830000004</v>
      </c>
      <c r="H19" s="24">
        <v>855863.88390000002</v>
      </c>
      <c r="I19" t="s">
        <v>271</v>
      </c>
    </row>
    <row r="20" spans="1:9">
      <c r="A20" s="24" t="s">
        <v>242</v>
      </c>
      <c r="B20" s="24" t="s">
        <v>236</v>
      </c>
      <c r="C20" s="24" t="s">
        <v>237</v>
      </c>
      <c r="D20" s="24" t="s">
        <v>238</v>
      </c>
      <c r="E20" s="24" t="s">
        <v>239</v>
      </c>
      <c r="F20" s="24">
        <v>329034</v>
      </c>
      <c r="G20" s="24">
        <v>446235.93589999998</v>
      </c>
      <c r="H20" s="24">
        <v>554806.23190000001</v>
      </c>
      <c r="I20" t="s">
        <v>272</v>
      </c>
    </row>
    <row r="21" spans="1:9">
      <c r="A21" s="24" t="s">
        <v>242</v>
      </c>
      <c r="B21" s="24" t="s">
        <v>236</v>
      </c>
      <c r="C21" s="24" t="s">
        <v>237</v>
      </c>
      <c r="D21" s="24" t="s">
        <v>240</v>
      </c>
      <c r="E21" s="24" t="s">
        <v>239</v>
      </c>
      <c r="F21" s="24">
        <v>329034</v>
      </c>
      <c r="G21" s="24">
        <v>815168.81429999997</v>
      </c>
      <c r="H21" s="24">
        <v>1180103.075</v>
      </c>
      <c r="I21" t="s">
        <v>273</v>
      </c>
    </row>
    <row r="22" spans="1:9">
      <c r="A22" s="24" t="s">
        <v>242</v>
      </c>
      <c r="B22" s="24" t="s">
        <v>236</v>
      </c>
      <c r="C22" s="24" t="s">
        <v>241</v>
      </c>
      <c r="D22" s="24" t="s">
        <v>238</v>
      </c>
      <c r="E22" s="24" t="s">
        <v>239</v>
      </c>
      <c r="F22" s="24">
        <v>162719</v>
      </c>
      <c r="G22" s="24">
        <v>220679.5202</v>
      </c>
      <c r="H22" s="24">
        <v>274371.38789999997</v>
      </c>
      <c r="I22" t="s">
        <v>274</v>
      </c>
    </row>
    <row r="23" spans="1:9">
      <c r="A23" s="24" t="s">
        <v>242</v>
      </c>
      <c r="B23" s="24" t="s">
        <v>236</v>
      </c>
      <c r="C23" s="24" t="s">
        <v>241</v>
      </c>
      <c r="D23" s="24" t="s">
        <v>240</v>
      </c>
      <c r="E23" s="24" t="s">
        <v>239</v>
      </c>
      <c r="F23" s="24">
        <v>162719</v>
      </c>
      <c r="G23" s="24">
        <v>403129.9327</v>
      </c>
      <c r="H23" s="24">
        <v>583602.88699999999</v>
      </c>
      <c r="I23" t="s">
        <v>275</v>
      </c>
    </row>
    <row r="24" spans="1:9">
      <c r="A24" s="24" t="s">
        <v>242</v>
      </c>
      <c r="B24" s="24" t="s">
        <v>236</v>
      </c>
      <c r="C24" s="24" t="s">
        <v>179</v>
      </c>
      <c r="D24" s="24" t="s">
        <v>238</v>
      </c>
      <c r="E24" s="24" t="s">
        <v>239</v>
      </c>
      <c r="F24" s="24">
        <v>1411430</v>
      </c>
      <c r="G24" s="24">
        <v>1914181.473</v>
      </c>
      <c r="H24" s="24">
        <v>2379906.514</v>
      </c>
      <c r="I24" t="s">
        <v>276</v>
      </c>
    </row>
    <row r="25" spans="1:9">
      <c r="A25" s="24" t="s">
        <v>242</v>
      </c>
      <c r="B25" s="24" t="s">
        <v>236</v>
      </c>
      <c r="C25" s="24" t="s">
        <v>179</v>
      </c>
      <c r="D25" s="24" t="s">
        <v>240</v>
      </c>
      <c r="E25" s="24" t="s">
        <v>239</v>
      </c>
      <c r="F25" s="24">
        <v>1411430</v>
      </c>
      <c r="G25" s="24">
        <v>3496762.4</v>
      </c>
      <c r="H25" s="24">
        <v>5062190.7879999997</v>
      </c>
      <c r="I25" t="s">
        <v>277</v>
      </c>
    </row>
    <row r="27" spans="1:9">
      <c r="A27" s="24" t="s">
        <v>242</v>
      </c>
      <c r="B27">
        <v>2020</v>
      </c>
      <c r="C27" s="74">
        <v>2030</v>
      </c>
      <c r="D27" s="24" t="s">
        <v>932</v>
      </c>
    </row>
    <row r="28" spans="1:9">
      <c r="A28" s="24" t="s">
        <v>37</v>
      </c>
      <c r="B28" s="129">
        <f>F21/SUM('Refinement (material production'!L35:L46)/1000</f>
        <v>1.2647662538342675E-2</v>
      </c>
      <c r="C28" s="26">
        <f>conversion!G33/SUM('Refinement (material production'!L35:L46)</f>
        <v>7.9804986936884828E-2</v>
      </c>
      <c r="D28" s="48">
        <f>C28*1.1</f>
        <v>8.7785485630573312E-2</v>
      </c>
      <c r="E28" s="26"/>
    </row>
    <row r="29" spans="1:9">
      <c r="A29" s="24" t="s">
        <v>179</v>
      </c>
      <c r="B29" s="43">
        <f>F19/SUM('Refinement (material production'!AB34:AB45)/10^6</f>
        <v>1.6030526315789472E-4</v>
      </c>
      <c r="C29" s="130">
        <f>SUM(conversion!G32)/SUM('Refinement (material production'!$AB$34:$AB$45)/10^3</f>
        <v>3.7002931067606718E-3</v>
      </c>
      <c r="D29" s="74">
        <f t="shared" ref="D29:D33" si="0">C29*1.1</f>
        <v>4.0703224174367392E-3</v>
      </c>
    </row>
    <row r="30" spans="1:9">
      <c r="A30" s="24" t="s">
        <v>930</v>
      </c>
      <c r="C30" s="130">
        <f>'Material demand scenarion'!G25*1.6/SUM(mining!K63:K74)/10^6</f>
        <v>2.151853784615384E-3</v>
      </c>
      <c r="D30" s="74">
        <f t="shared" si="0"/>
        <v>2.3670391630769227E-3</v>
      </c>
    </row>
    <row r="31" spans="1:9">
      <c r="A31" s="24" t="s">
        <v>442</v>
      </c>
      <c r="C31" s="130">
        <f>conversion!G34/SUM(mining!K45:K56)*10^3</f>
        <v>6.9067486225828784E-2</v>
      </c>
      <c r="D31" s="48">
        <f t="shared" si="0"/>
        <v>7.5974234848411662E-2</v>
      </c>
    </row>
    <row r="32" spans="1:9">
      <c r="A32" s="24" t="s">
        <v>128</v>
      </c>
      <c r="C32" s="130">
        <f>conversion!G31/SUM('Refinement (material production'!B35:B46)</f>
        <v>2.2214688552167149E-2</v>
      </c>
      <c r="D32" s="48">
        <f t="shared" si="0"/>
        <v>2.4436157407383866E-2</v>
      </c>
    </row>
    <row r="33" spans="1:4">
      <c r="A33" s="24" t="s">
        <v>126</v>
      </c>
      <c r="C33" s="130">
        <f>conversion!G31*4/SUM(mining!J3:J14)</f>
        <v>1.5994575757560348E-2</v>
      </c>
      <c r="D33" s="48">
        <f t="shared" si="0"/>
        <v>1.7594033333316383E-2</v>
      </c>
    </row>
  </sheetData>
  <phoneticPr fontId="2" type="noConversion"/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EAF6-69C2-A14F-9ACB-6F626EFD36C0}">
  <dimension ref="A1:W83"/>
  <sheetViews>
    <sheetView topLeftCell="A27" zoomScale="86" workbookViewId="0">
      <selection activeCell="G52" sqref="G52:G63"/>
    </sheetView>
  </sheetViews>
  <sheetFormatPr baseColWidth="10" defaultRowHeight="16"/>
  <cols>
    <col min="1" max="1" width="30.1640625" bestFit="1" customWidth="1"/>
    <col min="2" max="2" width="12.5" bestFit="1" customWidth="1"/>
    <col min="3" max="3" width="38.1640625" bestFit="1" customWidth="1"/>
    <col min="4" max="4" width="19.83203125" bestFit="1" customWidth="1"/>
    <col min="5" max="5" width="18.6640625" customWidth="1"/>
    <col min="6" max="6" width="29.83203125" bestFit="1" customWidth="1"/>
    <col min="7" max="7" width="22.83203125" bestFit="1" customWidth="1"/>
    <col min="8" max="8" width="15.5" bestFit="1" customWidth="1"/>
    <col min="10" max="10" width="25.83203125" bestFit="1" customWidth="1"/>
    <col min="11" max="11" width="13.6640625" bestFit="1" customWidth="1"/>
    <col min="15" max="15" width="30.5" bestFit="1" customWidth="1"/>
  </cols>
  <sheetData>
    <row r="1" spans="1:23">
      <c r="A1" s="1" t="s">
        <v>845</v>
      </c>
    </row>
    <row r="2" spans="1:23" ht="17" thickBot="1">
      <c r="A2" s="1"/>
    </row>
    <row r="3" spans="1:23">
      <c r="A3" s="81" t="s">
        <v>844</v>
      </c>
      <c r="B3" s="82"/>
      <c r="C3" s="82"/>
      <c r="D3" s="82"/>
      <c r="E3" s="82"/>
      <c r="F3" s="146" t="s">
        <v>886</v>
      </c>
      <c r="G3" s="147"/>
      <c r="H3" s="148"/>
      <c r="J3" s="81" t="s">
        <v>836</v>
      </c>
      <c r="K3" s="82"/>
      <c r="L3" s="82"/>
      <c r="M3" s="83"/>
      <c r="O3" t="s">
        <v>847</v>
      </c>
      <c r="P3" t="s">
        <v>717</v>
      </c>
      <c r="Q3" t="s">
        <v>857</v>
      </c>
    </row>
    <row r="4" spans="1:23" ht="17" thickBot="1">
      <c r="A4" s="84" t="s">
        <v>824</v>
      </c>
      <c r="B4" s="52">
        <v>77.765283000172403</v>
      </c>
      <c r="C4" t="s">
        <v>509</v>
      </c>
      <c r="D4" t="s">
        <v>832</v>
      </c>
      <c r="E4" s="48"/>
      <c r="F4" s="149"/>
      <c r="G4" s="150"/>
      <c r="H4" s="151"/>
      <c r="J4" s="84" t="s">
        <v>837</v>
      </c>
      <c r="K4" s="85">
        <v>0.9</v>
      </c>
      <c r="L4" t="s">
        <v>838</v>
      </c>
      <c r="M4" s="86"/>
      <c r="O4" t="s">
        <v>848</v>
      </c>
      <c r="P4" s="49">
        <f>conversion!D31+conversion!D34</f>
        <v>4.6431249999999995</v>
      </c>
      <c r="Q4" s="26">
        <f>P4/$P$6</f>
        <v>0.34964936226290771</v>
      </c>
    </row>
    <row r="5" spans="1:23">
      <c r="A5" s="84" t="s">
        <v>825</v>
      </c>
      <c r="B5" s="52">
        <v>90.624117820329701</v>
      </c>
      <c r="C5" t="s">
        <v>509</v>
      </c>
      <c r="D5" t="s">
        <v>832</v>
      </c>
      <c r="E5" s="48"/>
      <c r="H5" s="86"/>
      <c r="J5" s="84" t="s">
        <v>842</v>
      </c>
      <c r="K5" s="87">
        <v>0.34964936226290771</v>
      </c>
      <c r="L5" t="s">
        <v>858</v>
      </c>
      <c r="M5" s="86"/>
      <c r="O5" t="s">
        <v>849</v>
      </c>
      <c r="P5" s="49">
        <f>conversion!D35+conversion!D37</f>
        <v>8.6362499999999986</v>
      </c>
      <c r="Q5" s="26">
        <f>P5/$P$6</f>
        <v>0.65035063773709223</v>
      </c>
    </row>
    <row r="6" spans="1:23">
      <c r="A6" s="84" t="s">
        <v>826</v>
      </c>
      <c r="B6" s="52">
        <v>111.51972440308499</v>
      </c>
      <c r="C6" t="s">
        <v>509</v>
      </c>
      <c r="D6" t="s">
        <v>832</v>
      </c>
      <c r="E6" s="48"/>
      <c r="H6" s="86"/>
      <c r="J6" s="84" t="s">
        <v>843</v>
      </c>
      <c r="K6" s="85">
        <v>0.65035063773709223</v>
      </c>
      <c r="L6" t="s">
        <v>858</v>
      </c>
      <c r="M6" s="86"/>
      <c r="O6" t="s">
        <v>850</v>
      </c>
      <c r="P6" s="49">
        <f>SUM(P4:P5)</f>
        <v>13.279374999999998</v>
      </c>
    </row>
    <row r="7" spans="1:23">
      <c r="A7" s="84" t="s">
        <v>827</v>
      </c>
      <c r="B7" s="52">
        <v>195.10215073410799</v>
      </c>
      <c r="C7" t="s">
        <v>509</v>
      </c>
      <c r="D7" t="s">
        <v>832</v>
      </c>
      <c r="E7" s="48"/>
      <c r="H7" s="86"/>
      <c r="J7" s="84"/>
      <c r="M7" s="86"/>
      <c r="P7" s="49"/>
    </row>
    <row r="8" spans="1:23">
      <c r="A8" s="84" t="s">
        <v>828</v>
      </c>
      <c r="B8" s="52">
        <v>68.121156885054305</v>
      </c>
      <c r="C8" t="s">
        <v>509</v>
      </c>
      <c r="D8" t="s">
        <v>832</v>
      </c>
      <c r="E8" s="48"/>
      <c r="H8" s="86"/>
      <c r="J8" s="145" t="s">
        <v>817</v>
      </c>
      <c r="K8" s="143"/>
      <c r="L8" s="143"/>
      <c r="M8" s="86"/>
      <c r="O8" t="s">
        <v>851</v>
      </c>
      <c r="P8" s="26">
        <f>conversion!B35/conversion!B33</f>
        <v>0.25808157099697882</v>
      </c>
      <c r="U8" s="89" t="s">
        <v>105</v>
      </c>
      <c r="V8" s="48">
        <v>1.3895081533423701</v>
      </c>
      <c r="W8" s="48">
        <v>1.0573199070487995</v>
      </c>
    </row>
    <row r="9" spans="1:23">
      <c r="A9" s="84" t="s">
        <v>829</v>
      </c>
      <c r="B9" s="52">
        <v>195.10215073410799</v>
      </c>
      <c r="C9" t="s">
        <v>509</v>
      </c>
      <c r="D9" t="s">
        <v>832</v>
      </c>
      <c r="E9" s="48"/>
      <c r="H9" s="86"/>
      <c r="J9" s="88" t="s">
        <v>818</v>
      </c>
      <c r="K9" t="s">
        <v>822</v>
      </c>
      <c r="L9" t="s">
        <v>819</v>
      </c>
      <c r="M9" s="86" t="s">
        <v>834</v>
      </c>
      <c r="O9" t="s">
        <v>852</v>
      </c>
      <c r="P9" s="26">
        <f>conversion!B37/conversion!B32</f>
        <v>0.38608230177316827</v>
      </c>
      <c r="U9" s="89" t="s">
        <v>191</v>
      </c>
      <c r="V9" s="48">
        <v>1.4386266662256475</v>
      </c>
      <c r="W9" s="48">
        <v>1.3942680092951201</v>
      </c>
    </row>
    <row r="10" spans="1:23">
      <c r="A10" s="84" t="s">
        <v>830</v>
      </c>
      <c r="B10" s="52">
        <v>54.927705545413303</v>
      </c>
      <c r="C10" t="s">
        <v>509</v>
      </c>
      <c r="D10" t="s">
        <v>832</v>
      </c>
      <c r="E10" s="48"/>
      <c r="H10" s="86"/>
      <c r="J10" s="89" t="s">
        <v>105</v>
      </c>
      <c r="K10">
        <v>38.19</v>
      </c>
      <c r="L10" s="48">
        <f t="shared" ref="L10:L21" si="0">K10/$K$20</f>
        <v>1.3895081533423741</v>
      </c>
      <c r="M10" s="86"/>
      <c r="U10" s="89" t="s">
        <v>108</v>
      </c>
      <c r="V10" s="48">
        <v>0.29034498726557073</v>
      </c>
      <c r="W10" s="48">
        <v>0.59643687064291251</v>
      </c>
    </row>
    <row r="11" spans="1:23">
      <c r="A11" s="84" t="s">
        <v>860</v>
      </c>
      <c r="B11" s="52">
        <v>178.126337665303</v>
      </c>
      <c r="C11" t="s">
        <v>509</v>
      </c>
      <c r="D11" t="s">
        <v>832</v>
      </c>
      <c r="E11" s="48"/>
      <c r="H11" s="86"/>
      <c r="J11" s="89" t="s">
        <v>191</v>
      </c>
      <c r="K11">
        <v>39.54</v>
      </c>
      <c r="L11" s="48">
        <f t="shared" si="0"/>
        <v>1.4386266662256475</v>
      </c>
      <c r="M11" s="90">
        <f>K11/$K$19</f>
        <v>1.4326086956521737</v>
      </c>
      <c r="O11" t="s">
        <v>854</v>
      </c>
      <c r="P11" s="49">
        <f>16.7*0.84</f>
        <v>14.027999999999999</v>
      </c>
      <c r="Q11" t="s">
        <v>400</v>
      </c>
      <c r="R11" t="s">
        <v>856</v>
      </c>
      <c r="U11" s="89" t="s">
        <v>330</v>
      </c>
      <c r="V11" s="48">
        <v>0.48390831210928453</v>
      </c>
      <c r="W11" s="48">
        <v>0.30209140201394269</v>
      </c>
    </row>
    <row r="12" spans="1:23">
      <c r="A12" s="84" t="s">
        <v>831</v>
      </c>
      <c r="B12" s="52">
        <v>56.947355252296703</v>
      </c>
      <c r="C12" t="s">
        <v>509</v>
      </c>
      <c r="D12" t="s">
        <v>832</v>
      </c>
      <c r="E12" s="48"/>
      <c r="H12" s="86"/>
      <c r="J12" s="89" t="s">
        <v>108</v>
      </c>
      <c r="K12">
        <v>7.98</v>
      </c>
      <c r="L12" s="48">
        <f t="shared" si="0"/>
        <v>0.29034498726557073</v>
      </c>
      <c r="M12" s="86"/>
      <c r="O12" t="s">
        <v>855</v>
      </c>
      <c r="P12" s="49">
        <f>8.6*0.84</f>
        <v>7.2239999999999993</v>
      </c>
      <c r="Q12" t="s">
        <v>400</v>
      </c>
      <c r="R12" t="s">
        <v>856</v>
      </c>
      <c r="U12" s="89" t="s">
        <v>421</v>
      </c>
      <c r="V12" s="48">
        <v>0.38967353554063444</v>
      </c>
      <c r="W12" s="48">
        <v>1.3903950426026337</v>
      </c>
    </row>
    <row r="13" spans="1:23">
      <c r="A13" s="84"/>
      <c r="H13" s="86"/>
      <c r="J13" s="89" t="s">
        <v>330</v>
      </c>
      <c r="K13">
        <f>K21/3</f>
        <v>13.299999999999999</v>
      </c>
      <c r="L13" s="48">
        <f t="shared" si="0"/>
        <v>0.48390831210928453</v>
      </c>
      <c r="M13" s="86"/>
      <c r="U13" s="89" t="s">
        <v>197</v>
      </c>
      <c r="V13" s="48">
        <v>1.571064730592399</v>
      </c>
      <c r="W13" s="48">
        <v>1.4136328427575524</v>
      </c>
    </row>
    <row r="14" spans="1:23">
      <c r="A14" s="88" t="s">
        <v>833</v>
      </c>
      <c r="B14" s="1" t="s">
        <v>835</v>
      </c>
      <c r="C14" s="1" t="s">
        <v>853</v>
      </c>
      <c r="D14" s="1" t="s">
        <v>839</v>
      </c>
      <c r="E14" s="1" t="s">
        <v>840</v>
      </c>
      <c r="F14" s="1" t="s">
        <v>859</v>
      </c>
      <c r="G14" s="1" t="s">
        <v>846</v>
      </c>
      <c r="H14" s="86"/>
      <c r="J14" s="89" t="s">
        <v>421</v>
      </c>
      <c r="K14">
        <v>10.71</v>
      </c>
      <c r="L14" s="48">
        <f t="shared" si="0"/>
        <v>0.38967353554063444</v>
      </c>
      <c r="M14" s="90">
        <f>K14/$K$19</f>
        <v>0.3880434782608696</v>
      </c>
      <c r="U14" s="89" t="s">
        <v>198</v>
      </c>
      <c r="V14" s="48">
        <v>1.1821188767241095</v>
      </c>
      <c r="W14" s="48">
        <v>1.7699457784663053</v>
      </c>
    </row>
    <row r="15" spans="1:23">
      <c r="A15" s="84" t="s">
        <v>540</v>
      </c>
      <c r="B15" s="52">
        <f>114.248442448875*0.84</f>
        <v>95.96869165705499</v>
      </c>
      <c r="C15" s="52">
        <f>B15-$P$11-$P$12</f>
        <v>74.716691657054994</v>
      </c>
      <c r="D15" s="49">
        <f>C15/$K$4-C15</f>
        <v>8.3018546285616708</v>
      </c>
      <c r="E15" s="52">
        <f>D15*L10+C15</f>
        <v>86.252186351304559</v>
      </c>
      <c r="F15" s="49">
        <f t="shared" ref="F15:F26" si="1">E15*$K$6</f>
        <v>56.094164399789442</v>
      </c>
      <c r="G15" s="49">
        <f>E15*$K$5</f>
        <v>30.158021951515114</v>
      </c>
      <c r="H15" s="86" t="s">
        <v>400</v>
      </c>
      <c r="J15" s="89" t="s">
        <v>197</v>
      </c>
      <c r="K15">
        <v>43.18</v>
      </c>
      <c r="L15" s="48">
        <f t="shared" si="0"/>
        <v>1.571064730592399</v>
      </c>
      <c r="M15" s="90">
        <f>K15/$K$19</f>
        <v>1.5644927536231883</v>
      </c>
      <c r="N15" s="48"/>
      <c r="O15" s="19" t="s">
        <v>882</v>
      </c>
      <c r="P15" s="52"/>
      <c r="U15" s="89" t="s">
        <v>303</v>
      </c>
      <c r="V15" s="48">
        <v>0.96272285251215561</v>
      </c>
      <c r="W15" s="48">
        <v>0.85592563903950436</v>
      </c>
    </row>
    <row r="16" spans="1:23">
      <c r="A16" s="84" t="s">
        <v>541</v>
      </c>
      <c r="B16" s="52">
        <f>161.582737600832*0.84</f>
        <v>135.72949958469886</v>
      </c>
      <c r="C16" s="52">
        <f t="shared" ref="C16:C26" si="2">B16-$P$11-$P$12</f>
        <v>114.47749958469886</v>
      </c>
      <c r="D16" s="49">
        <f t="shared" ref="D16:D26" si="3">C16/$K$4-C16</f>
        <v>12.719722176077653</v>
      </c>
      <c r="E16" s="52">
        <f t="shared" ref="E16:E26" si="4">D16*L11+C16</f>
        <v>132.77643109418591</v>
      </c>
      <c r="F16" s="49">
        <f t="shared" si="1"/>
        <v>86.351236638558888</v>
      </c>
      <c r="G16" s="49">
        <f t="shared" ref="G16:G26" si="5">E16*$K$5</f>
        <v>46.425194455627015</v>
      </c>
      <c r="H16" s="86" t="s">
        <v>400</v>
      </c>
      <c r="J16" s="89" t="s">
        <v>198</v>
      </c>
      <c r="K16">
        <v>32.49</v>
      </c>
      <c r="L16" s="48">
        <f t="shared" si="0"/>
        <v>1.1821188767241095</v>
      </c>
      <c r="M16" s="90">
        <f>K16/$K$19</f>
        <v>1.1771739130434782</v>
      </c>
      <c r="N16" s="48"/>
      <c r="O16" s="19" t="s">
        <v>878</v>
      </c>
      <c r="P16">
        <v>6.4</v>
      </c>
      <c r="Q16" t="s">
        <v>400</v>
      </c>
      <c r="R16" t="s">
        <v>883</v>
      </c>
      <c r="U16" s="89" t="s">
        <v>703</v>
      </c>
      <c r="V16" s="48">
        <v>0.83610624152416235</v>
      </c>
      <c r="W16" s="48">
        <v>0.50735863671572434</v>
      </c>
    </row>
    <row r="17" spans="1:23">
      <c r="A17" s="84" t="s">
        <v>542</v>
      </c>
      <c r="B17" s="52">
        <f>114.248442448875*0.84</f>
        <v>95.96869165705499</v>
      </c>
      <c r="C17" s="52">
        <f t="shared" si="2"/>
        <v>74.716691657054994</v>
      </c>
      <c r="D17" s="49">
        <f t="shared" si="3"/>
        <v>8.3018546285616708</v>
      </c>
      <c r="E17" s="52">
        <f t="shared" si="4"/>
        <v>77.127093533465356</v>
      </c>
      <c r="F17" s="49">
        <f t="shared" si="1"/>
        <v>50.159654466297553</v>
      </c>
      <c r="G17" s="49">
        <f t="shared" si="5"/>
        <v>26.967439067167795</v>
      </c>
      <c r="H17" s="86" t="s">
        <v>400</v>
      </c>
      <c r="J17" s="89" t="s">
        <v>303</v>
      </c>
      <c r="K17">
        <v>26.46</v>
      </c>
      <c r="L17" s="48">
        <f t="shared" si="0"/>
        <v>0.96272285251215561</v>
      </c>
      <c r="M17" s="86"/>
      <c r="N17" s="48"/>
      <c r="O17" s="19" t="s">
        <v>879</v>
      </c>
      <c r="P17">
        <v>4.5999999999999996</v>
      </c>
      <c r="Q17" t="s">
        <v>400</v>
      </c>
      <c r="R17" t="s">
        <v>883</v>
      </c>
      <c r="U17" s="89" t="s">
        <v>633</v>
      </c>
      <c r="V17" s="48">
        <v>1.0042007078358086</v>
      </c>
      <c r="W17" s="48">
        <v>1</v>
      </c>
    </row>
    <row r="18" spans="1:23">
      <c r="A18" s="84" t="s">
        <v>539</v>
      </c>
      <c r="B18" s="52">
        <f>AVERAGE(B4:B5,B10)*0.84</f>
        <v>62.528789782456307</v>
      </c>
      <c r="C18" s="52">
        <f t="shared" si="2"/>
        <v>41.276789782456312</v>
      </c>
      <c r="D18" s="49">
        <f t="shared" si="3"/>
        <v>4.5863099758284775</v>
      </c>
      <c r="E18" s="52">
        <f t="shared" si="4"/>
        <v>43.496143301669441</v>
      </c>
      <c r="F18" s="49">
        <f t="shared" si="1"/>
        <v>28.287744535344675</v>
      </c>
      <c r="G18" s="49">
        <f t="shared" si="5"/>
        <v>15.208398766324766</v>
      </c>
      <c r="H18" s="86" t="s">
        <v>400</v>
      </c>
      <c r="J18" s="89" t="s">
        <v>703</v>
      </c>
      <c r="K18">
        <v>22.98</v>
      </c>
      <c r="L18" s="48">
        <f t="shared" si="0"/>
        <v>0.83610624152416235</v>
      </c>
      <c r="M18" s="86"/>
      <c r="N18" s="48"/>
      <c r="O18" s="19" t="s">
        <v>880</v>
      </c>
      <c r="P18">
        <v>2.7</v>
      </c>
      <c r="Q18" t="s">
        <v>400</v>
      </c>
      <c r="R18" t="s">
        <v>883</v>
      </c>
      <c r="U18" s="89" t="s">
        <v>841</v>
      </c>
      <c r="V18" s="48">
        <v>1</v>
      </c>
      <c r="W18" s="48">
        <v>1</v>
      </c>
    </row>
    <row r="19" spans="1:23">
      <c r="A19" s="84" t="s">
        <v>543</v>
      </c>
      <c r="B19" s="52">
        <f>161.582737600832*0.84</f>
        <v>135.72949958469886</v>
      </c>
      <c r="C19" s="52">
        <f t="shared" si="2"/>
        <v>114.47749958469886</v>
      </c>
      <c r="D19" s="49">
        <f t="shared" si="3"/>
        <v>12.719722176077653</v>
      </c>
      <c r="E19" s="52">
        <f t="shared" si="4"/>
        <v>119.43403869614565</v>
      </c>
      <c r="F19" s="49">
        <f t="shared" si="1"/>
        <v>77.67400323355487</v>
      </c>
      <c r="G19" s="49">
        <f t="shared" si="5"/>
        <v>41.760035462590771</v>
      </c>
      <c r="H19" s="86" t="s">
        <v>400</v>
      </c>
      <c r="J19" s="89" t="s">
        <v>633</v>
      </c>
      <c r="K19">
        <v>27.6</v>
      </c>
      <c r="L19" s="48">
        <f t="shared" si="0"/>
        <v>1.0042007078358086</v>
      </c>
      <c r="M19" s="86"/>
      <c r="N19" s="48"/>
      <c r="P19" s="48">
        <f>AVERAGE(P16:P18)</f>
        <v>4.5666666666666664</v>
      </c>
      <c r="U19" s="89" t="s">
        <v>214</v>
      </c>
      <c r="V19" s="48">
        <v>1.4517249363278537</v>
      </c>
      <c r="W19" s="48">
        <v>0.71262587141750589</v>
      </c>
    </row>
    <row r="20" spans="1:23">
      <c r="A20" s="84" t="s">
        <v>544</v>
      </c>
      <c r="B20" s="52">
        <f t="shared" ref="B20:B21" si="6">161.582737600832*0.84</f>
        <v>135.72949958469886</v>
      </c>
      <c r="C20" s="52">
        <f t="shared" si="2"/>
        <v>114.47749958469886</v>
      </c>
      <c r="D20" s="49">
        <f t="shared" si="3"/>
        <v>12.719722176077653</v>
      </c>
      <c r="E20" s="52">
        <f t="shared" si="4"/>
        <v>134.46100647846845</v>
      </c>
      <c r="F20" s="49">
        <f t="shared" si="1"/>
        <v>87.446801314043242</v>
      </c>
      <c r="G20" s="49">
        <f t="shared" si="5"/>
        <v>47.014205164425192</v>
      </c>
      <c r="H20" s="86" t="s">
        <v>400</v>
      </c>
      <c r="J20" s="89" t="s">
        <v>841</v>
      </c>
      <c r="K20" s="1">
        <f>AVERAGE(K10:K19,K21)</f>
        <v>27.484545454545454</v>
      </c>
      <c r="L20" s="48">
        <f t="shared" si="0"/>
        <v>1</v>
      </c>
      <c r="M20" s="86"/>
      <c r="N20" s="48"/>
    </row>
    <row r="21" spans="1:23">
      <c r="A21" s="84" t="s">
        <v>545</v>
      </c>
      <c r="B21" s="52">
        <f t="shared" si="6"/>
        <v>135.72949958469886</v>
      </c>
      <c r="C21" s="52">
        <f t="shared" si="2"/>
        <v>114.47749958469886</v>
      </c>
      <c r="D21" s="49">
        <f t="shared" si="3"/>
        <v>12.719722176077653</v>
      </c>
      <c r="E21" s="52">
        <f t="shared" si="4"/>
        <v>129.51372327572653</v>
      </c>
      <c r="F21" s="49">
        <f t="shared" si="1"/>
        <v>84.229332528074039</v>
      </c>
      <c r="G21" s="49">
        <f t="shared" si="5"/>
        <v>45.284390747652488</v>
      </c>
      <c r="H21" s="86" t="s">
        <v>400</v>
      </c>
      <c r="J21" s="89" t="s">
        <v>214</v>
      </c>
      <c r="K21">
        <v>39.9</v>
      </c>
      <c r="L21" s="48">
        <f t="shared" si="0"/>
        <v>1.4517249363278537</v>
      </c>
      <c r="M21" s="86"/>
      <c r="N21" s="48"/>
    </row>
    <row r="22" spans="1:23" ht="17" thickBot="1">
      <c r="A22" s="84" t="s">
        <v>546</v>
      </c>
      <c r="B22" s="52">
        <f>AVERAGE(B8:B9)</f>
        <v>131.61165380958116</v>
      </c>
      <c r="C22" s="52">
        <f t="shared" si="2"/>
        <v>110.35965380958116</v>
      </c>
      <c r="D22" s="49">
        <f t="shared" si="3"/>
        <v>12.262183756620132</v>
      </c>
      <c r="E22" s="52">
        <f t="shared" si="4"/>
        <v>122.16473833378271</v>
      </c>
      <c r="F22" s="49">
        <f t="shared" si="1"/>
        <v>79.449915484360588</v>
      </c>
      <c r="G22" s="49">
        <f t="shared" si="5"/>
        <v>42.71482284942212</v>
      </c>
      <c r="H22" s="86" t="s">
        <v>400</v>
      </c>
      <c r="J22" s="84"/>
      <c r="L22" s="48">
        <f>MIN(L10:L21)</f>
        <v>0.29034498726557073</v>
      </c>
      <c r="M22" s="86" t="s">
        <v>19</v>
      </c>
      <c r="N22" s="48"/>
    </row>
    <row r="23" spans="1:23">
      <c r="A23" s="84" t="s">
        <v>547</v>
      </c>
      <c r="B23" s="52">
        <f>114.248442448875*0.84</f>
        <v>95.96869165705499</v>
      </c>
      <c r="C23" s="52">
        <f t="shared" si="2"/>
        <v>74.716691657054994</v>
      </c>
      <c r="D23" s="49">
        <f t="shared" si="3"/>
        <v>8.3018546285616708</v>
      </c>
      <c r="E23" s="52">
        <f t="shared" si="4"/>
        <v>81.657924128221666</v>
      </c>
      <c r="F23" s="49">
        <f t="shared" si="1"/>
        <v>53.106283033076053</v>
      </c>
      <c r="G23" s="49">
        <f t="shared" si="5"/>
        <v>28.551641095145609</v>
      </c>
      <c r="H23" s="86" t="s">
        <v>400</v>
      </c>
      <c r="J23" s="84"/>
      <c r="L23" s="48">
        <f>MAX(L10:L22)</f>
        <v>1.571064730592399</v>
      </c>
      <c r="M23" s="86" t="s">
        <v>110</v>
      </c>
      <c r="N23" s="48"/>
      <c r="O23" s="100" t="s">
        <v>894</v>
      </c>
      <c r="P23" s="82"/>
      <c r="Q23" s="82"/>
      <c r="R23" s="82"/>
      <c r="S23" s="83"/>
    </row>
    <row r="24" spans="1:23">
      <c r="A24" s="84" t="s">
        <v>548</v>
      </c>
      <c r="B24" s="52">
        <f>AVERAGE((B6:B7))*0.84</f>
        <v>128.78118755762105</v>
      </c>
      <c r="C24" s="52">
        <f t="shared" si="2"/>
        <v>107.52918755762106</v>
      </c>
      <c r="D24" s="49">
        <f t="shared" si="3"/>
        <v>11.947687506402332</v>
      </c>
      <c r="E24" s="52">
        <f t="shared" si="4"/>
        <v>119.52706380855133</v>
      </c>
      <c r="F24" s="49">
        <f t="shared" si="1"/>
        <v>77.734502174733478</v>
      </c>
      <c r="G24" s="49">
        <f t="shared" si="5"/>
        <v>41.792561633817854</v>
      </c>
      <c r="H24" s="86" t="s">
        <v>400</v>
      </c>
      <c r="J24" s="88" t="s">
        <v>820</v>
      </c>
      <c r="K24" t="s">
        <v>823</v>
      </c>
      <c r="L24" t="s">
        <v>821</v>
      </c>
      <c r="M24" s="86"/>
      <c r="N24" s="48"/>
      <c r="O24" s="84" t="s">
        <v>891</v>
      </c>
      <c r="P24" t="s">
        <v>892</v>
      </c>
      <c r="Q24" t="s">
        <v>723</v>
      </c>
      <c r="R24" t="s">
        <v>893</v>
      </c>
      <c r="S24" s="86"/>
    </row>
    <row r="25" spans="1:23">
      <c r="A25" s="84" t="s">
        <v>449</v>
      </c>
      <c r="B25" s="52">
        <f>AVERAGE(B4:B12)*0.84</f>
        <v>95.968691657054592</v>
      </c>
      <c r="C25" s="52">
        <f t="shared" si="2"/>
        <v>74.716691657054596</v>
      </c>
      <c r="D25" s="49">
        <f t="shared" si="3"/>
        <v>8.3018546285616139</v>
      </c>
      <c r="E25" s="52">
        <f t="shared" si="4"/>
        <v>83.01854628561621</v>
      </c>
      <c r="F25" s="49">
        <f t="shared" si="1"/>
        <v>53.991164520856813</v>
      </c>
      <c r="G25" s="49">
        <f t="shared" si="5"/>
        <v>29.027381764759394</v>
      </c>
      <c r="H25" s="86" t="s">
        <v>400</v>
      </c>
      <c r="J25" s="89" t="s">
        <v>105</v>
      </c>
      <c r="K25">
        <v>0.27300000000000002</v>
      </c>
      <c r="L25" s="48">
        <f>K25/$K$35</f>
        <v>1.0573199070487995</v>
      </c>
      <c r="M25" s="86"/>
      <c r="N25" s="48"/>
      <c r="O25" s="101">
        <f>E15+E54+B40</f>
        <v>143.56132187225569</v>
      </c>
      <c r="P25" s="87">
        <f>(E54+B40)/O25</f>
        <v>0.39919620949120388</v>
      </c>
      <c r="Q25" s="87">
        <f>F15/O25</f>
        <v>0.39073312831225793</v>
      </c>
      <c r="R25" s="87">
        <f>G15/O25</f>
        <v>0.21007066219653819</v>
      </c>
      <c r="S25" s="86"/>
    </row>
    <row r="26" spans="1:23" ht="17" thickBot="1">
      <c r="A26" s="91" t="s">
        <v>214</v>
      </c>
      <c r="B26" s="95">
        <f>B11*0.84</f>
        <v>149.62612363885452</v>
      </c>
      <c r="C26" s="95">
        <f t="shared" si="2"/>
        <v>128.37412363885454</v>
      </c>
      <c r="D26" s="96">
        <f t="shared" si="3"/>
        <v>14.263791515428267</v>
      </c>
      <c r="E26" s="95">
        <f t="shared" si="4"/>
        <v>149.08122546838342</v>
      </c>
      <c r="F26" s="96">
        <f t="shared" si="1"/>
        <v>96.955070057990397</v>
      </c>
      <c r="G26" s="96">
        <f t="shared" si="5"/>
        <v>52.126155410393018</v>
      </c>
      <c r="H26" s="94" t="s">
        <v>400</v>
      </c>
      <c r="J26" s="89" t="s">
        <v>191</v>
      </c>
      <c r="K26">
        <v>0.36</v>
      </c>
      <c r="L26" s="48">
        <f t="shared" ref="L26:L36" si="7">K26/$K$35</f>
        <v>1.3942680092951201</v>
      </c>
      <c r="M26" s="86"/>
      <c r="O26" s="101">
        <f t="shared" ref="O26:O36" si="8">E16+E55+B41</f>
        <v>218.57145695023155</v>
      </c>
      <c r="P26" s="87">
        <f t="shared" ref="P26:P35" si="9">(E55+B41)/O26</f>
        <v>0.39252621112179836</v>
      </c>
      <c r="Q26" s="87">
        <f t="shared" ref="Q26:Q36" si="10">F16/O26</f>
        <v>0.39507096600550617</v>
      </c>
      <c r="R26" s="87">
        <f t="shared" ref="R26:R36" si="11">G16/O26</f>
        <v>0.21240282287269546</v>
      </c>
      <c r="S26" s="86"/>
    </row>
    <row r="27" spans="1:23" ht="17" thickBot="1">
      <c r="J27" s="89" t="s">
        <v>108</v>
      </c>
      <c r="K27">
        <v>0.154</v>
      </c>
      <c r="L27" s="48">
        <f t="shared" si="7"/>
        <v>0.59643687064291251</v>
      </c>
      <c r="M27" s="86"/>
      <c r="O27" s="101">
        <f t="shared" si="8"/>
        <v>129.07844827606846</v>
      </c>
      <c r="P27" s="87">
        <f t="shared" si="9"/>
        <v>0.40247892220931697</v>
      </c>
      <c r="Q27" s="87">
        <f t="shared" si="10"/>
        <v>0.38859821400252537</v>
      </c>
      <c r="R27" s="87">
        <f t="shared" si="11"/>
        <v>0.20892286378815758</v>
      </c>
      <c r="S27" s="86"/>
    </row>
    <row r="28" spans="1:23" ht="16" customHeight="1">
      <c r="A28" s="81" t="s">
        <v>874</v>
      </c>
      <c r="B28" s="82" t="s">
        <v>875</v>
      </c>
      <c r="C28" s="82" t="s">
        <v>873</v>
      </c>
      <c r="D28" s="82"/>
      <c r="E28" s="82"/>
      <c r="F28" s="106" t="s">
        <v>885</v>
      </c>
      <c r="G28" s="107"/>
      <c r="H28" s="108"/>
      <c r="J28" s="89" t="s">
        <v>330</v>
      </c>
      <c r="K28">
        <v>7.8E-2</v>
      </c>
      <c r="L28" s="48">
        <f t="shared" si="7"/>
        <v>0.30209140201394269</v>
      </c>
      <c r="M28" s="86"/>
      <c r="O28" s="101">
        <f t="shared" si="8"/>
        <v>78.923834154475728</v>
      </c>
      <c r="P28" s="87">
        <f t="shared" si="9"/>
        <v>0.44888456360932139</v>
      </c>
      <c r="Q28" s="87">
        <f t="shared" si="10"/>
        <v>0.3584182755234338</v>
      </c>
      <c r="R28" s="87">
        <f t="shared" si="11"/>
        <v>0.19269716086724489</v>
      </c>
      <c r="S28" s="86"/>
    </row>
    <row r="29" spans="1:23" ht="17" customHeight="1" thickBot="1">
      <c r="A29" s="84" t="s">
        <v>861</v>
      </c>
      <c r="B29" s="48">
        <v>13.784876393580802</v>
      </c>
      <c r="C29" s="52">
        <v>29.5390208433884</v>
      </c>
      <c r="D29" t="s">
        <v>509</v>
      </c>
      <c r="E29" t="s">
        <v>832</v>
      </c>
      <c r="F29" s="105">
        <f>C29-B29</f>
        <v>15.754144449807598</v>
      </c>
      <c r="G29" s="109"/>
      <c r="H29" s="110"/>
      <c r="J29" s="89" t="s">
        <v>421</v>
      </c>
      <c r="K29">
        <v>0.35899999999999999</v>
      </c>
      <c r="L29" s="48">
        <f t="shared" si="7"/>
        <v>1.3903950426026337</v>
      </c>
      <c r="M29" s="86"/>
      <c r="O29" s="101">
        <f t="shared" si="8"/>
        <v>201.99158984474036</v>
      </c>
      <c r="P29" s="87">
        <f t="shared" si="9"/>
        <v>0.40871776499235485</v>
      </c>
      <c r="Q29" s="87">
        <f t="shared" si="10"/>
        <v>0.38454077861983527</v>
      </c>
      <c r="R29" s="87">
        <f t="shared" si="11"/>
        <v>0.20674145638780989</v>
      </c>
      <c r="S29" s="86"/>
    </row>
    <row r="30" spans="1:23">
      <c r="A30" s="84" t="s">
        <v>861</v>
      </c>
      <c r="B30" s="48">
        <v>11.815608337355698</v>
      </c>
      <c r="C30" s="48">
        <v>11.815608337355698</v>
      </c>
      <c r="D30" t="s">
        <v>509</v>
      </c>
      <c r="E30" t="s">
        <v>832</v>
      </c>
      <c r="F30" s="105">
        <f t="shared" ref="F30:F37" si="12">C30-B30</f>
        <v>0</v>
      </c>
      <c r="H30" s="86"/>
      <c r="J30" s="89" t="s">
        <v>197</v>
      </c>
      <c r="K30">
        <v>0.36499999999999999</v>
      </c>
      <c r="L30" s="48">
        <f t="shared" si="7"/>
        <v>1.4136328427575524</v>
      </c>
      <c r="M30" s="86"/>
      <c r="O30" s="101">
        <f t="shared" si="8"/>
        <v>220.76632743873199</v>
      </c>
      <c r="P30" s="87">
        <f t="shared" si="9"/>
        <v>0.39093516643390896</v>
      </c>
      <c r="Q30" s="87">
        <f t="shared" si="10"/>
        <v>0.39610570293294323</v>
      </c>
      <c r="R30" s="87">
        <f t="shared" si="11"/>
        <v>0.21295913063314773</v>
      </c>
      <c r="S30" s="86"/>
    </row>
    <row r="31" spans="1:23">
      <c r="A31" s="84" t="s">
        <v>862</v>
      </c>
      <c r="B31" s="48">
        <v>15.75414444980801</v>
      </c>
      <c r="C31" s="52">
        <v>29.539020843388712</v>
      </c>
      <c r="D31" t="s">
        <v>509</v>
      </c>
      <c r="E31" t="s">
        <v>832</v>
      </c>
      <c r="F31" s="105">
        <f t="shared" si="12"/>
        <v>13.784876393580703</v>
      </c>
      <c r="H31" s="86"/>
      <c r="J31" s="89" t="s">
        <v>198</v>
      </c>
      <c r="K31">
        <v>0.45700000000000002</v>
      </c>
      <c r="L31" s="48">
        <f t="shared" si="7"/>
        <v>1.7699457784663053</v>
      </c>
      <c r="M31" s="86"/>
      <c r="O31" s="101">
        <f t="shared" si="8"/>
        <v>216.46251188149921</v>
      </c>
      <c r="P31" s="87">
        <f t="shared" si="9"/>
        <v>0.40168058593615569</v>
      </c>
      <c r="Q31" s="87">
        <f t="shared" si="10"/>
        <v>0.38911741250690446</v>
      </c>
      <c r="R31" s="87">
        <f t="shared" si="11"/>
        <v>0.20920200155693974</v>
      </c>
      <c r="S31" s="86"/>
    </row>
    <row r="32" spans="1:23">
      <c r="A32" s="84" t="s">
        <v>863</v>
      </c>
      <c r="B32" s="48">
        <v>51.200969461875019</v>
      </c>
      <c r="C32" s="52">
        <v>76.801454192812997</v>
      </c>
      <c r="D32" t="s">
        <v>509</v>
      </c>
      <c r="E32" t="s">
        <v>832</v>
      </c>
      <c r="F32" s="105">
        <f t="shared" si="12"/>
        <v>25.600484730937978</v>
      </c>
      <c r="H32" s="86"/>
      <c r="J32" s="89" t="s">
        <v>303</v>
      </c>
      <c r="K32">
        <v>0.221</v>
      </c>
      <c r="L32" s="48">
        <f t="shared" si="7"/>
        <v>0.85592563903950436</v>
      </c>
      <c r="M32" s="86"/>
      <c r="O32" s="101">
        <f t="shared" si="8"/>
        <v>182.27349917421108</v>
      </c>
      <c r="P32" s="87">
        <f t="shared" si="9"/>
        <v>0.32977235370336733</v>
      </c>
      <c r="Q32" s="87">
        <f t="shared" si="10"/>
        <v>0.43588297719804536</v>
      </c>
      <c r="R32" s="87">
        <f t="shared" si="11"/>
        <v>0.23434466909858728</v>
      </c>
      <c r="S32" s="86"/>
    </row>
    <row r="33" spans="1:19">
      <c r="A33" s="84" t="s">
        <v>864</v>
      </c>
      <c r="B33" s="48">
        <v>76.801454192812002</v>
      </c>
      <c r="C33" s="52">
        <v>131.94095976713899</v>
      </c>
      <c r="D33" t="s">
        <v>509</v>
      </c>
      <c r="E33" t="s">
        <v>832</v>
      </c>
      <c r="F33" s="105">
        <f t="shared" si="12"/>
        <v>55.139505574326989</v>
      </c>
      <c r="H33" s="86"/>
      <c r="J33" s="89" t="s">
        <v>703</v>
      </c>
      <c r="K33">
        <v>0.13100000000000001</v>
      </c>
      <c r="L33" s="48">
        <f t="shared" si="7"/>
        <v>0.50735863671572434</v>
      </c>
      <c r="M33" s="86"/>
      <c r="O33" s="101">
        <f t="shared" si="8"/>
        <v>134.61858865024863</v>
      </c>
      <c r="P33" s="87">
        <f t="shared" si="9"/>
        <v>0.39341271553235202</v>
      </c>
      <c r="Q33" s="87">
        <f t="shared" si="10"/>
        <v>0.39449442729674594</v>
      </c>
      <c r="R33" s="87">
        <f t="shared" si="11"/>
        <v>0.21209285717090212</v>
      </c>
      <c r="S33" s="86"/>
    </row>
    <row r="34" spans="1:19">
      <c r="A34" s="84" t="s">
        <v>865</v>
      </c>
      <c r="B34" s="48">
        <v>33.47755695584101</v>
      </c>
      <c r="C34" s="52">
        <v>70.89365002413399</v>
      </c>
      <c r="D34" t="s">
        <v>509</v>
      </c>
      <c r="E34" t="s">
        <v>832</v>
      </c>
      <c r="F34" s="105">
        <f t="shared" si="12"/>
        <v>37.41609306829298</v>
      </c>
      <c r="H34" s="86"/>
      <c r="J34" s="89" t="s">
        <v>633</v>
      </c>
      <c r="K34">
        <f>AVERAGE(K25:K33,K36)</f>
        <v>0.25819999999999999</v>
      </c>
      <c r="L34" s="48">
        <f t="shared" si="7"/>
        <v>1</v>
      </c>
      <c r="M34" s="86"/>
      <c r="O34" s="101">
        <f t="shared" si="8"/>
        <v>201.98753989263582</v>
      </c>
      <c r="P34" s="87">
        <f t="shared" si="9"/>
        <v>0.4082453607183662</v>
      </c>
      <c r="Q34" s="87">
        <f t="shared" si="10"/>
        <v>0.38484800704069355</v>
      </c>
      <c r="R34" s="87">
        <f t="shared" si="11"/>
        <v>0.20690663224094027</v>
      </c>
      <c r="S34" s="86"/>
    </row>
    <row r="35" spans="1:19" ht="17" thickBot="1">
      <c r="A35" s="84" t="s">
        <v>866</v>
      </c>
      <c r="B35" s="48">
        <v>17.723412506033611</v>
      </c>
      <c r="C35" s="52">
        <v>37.416093068292199</v>
      </c>
      <c r="D35" t="s">
        <v>509</v>
      </c>
      <c r="E35" t="s">
        <v>832</v>
      </c>
      <c r="F35" s="105">
        <f t="shared" si="12"/>
        <v>19.692680562258587</v>
      </c>
      <c r="H35" s="86"/>
      <c r="J35" s="89" t="s">
        <v>841</v>
      </c>
      <c r="K35" s="92">
        <f>AVERAGE(K25:K34,K36)</f>
        <v>0.25819999999999999</v>
      </c>
      <c r="L35" s="48">
        <f t="shared" si="7"/>
        <v>1</v>
      </c>
      <c r="M35" s="86"/>
      <c r="O35" s="101">
        <f t="shared" si="8"/>
        <v>138.90810977635809</v>
      </c>
      <c r="P35" s="87">
        <f t="shared" si="9"/>
        <v>0.40234917587406538</v>
      </c>
      <c r="Q35" s="87">
        <f t="shared" si="10"/>
        <v>0.38868259461440036</v>
      </c>
      <c r="R35" s="87">
        <f t="shared" si="11"/>
        <v>0.20896822951153426</v>
      </c>
      <c r="S35" s="86"/>
    </row>
    <row r="36" spans="1:19">
      <c r="A36" s="84" t="s">
        <v>867</v>
      </c>
      <c r="B36" s="48">
        <v>59.078041686778988</v>
      </c>
      <c r="C36" s="52">
        <v>86.64779447394298</v>
      </c>
      <c r="D36" t="s">
        <v>509</v>
      </c>
      <c r="E36" t="s">
        <v>832</v>
      </c>
      <c r="F36" s="105">
        <f t="shared" si="12"/>
        <v>27.569752787163992</v>
      </c>
      <c r="H36" s="86"/>
      <c r="J36" s="89" t="s">
        <v>214</v>
      </c>
      <c r="K36">
        <v>0.184</v>
      </c>
      <c r="L36" s="48">
        <f t="shared" si="7"/>
        <v>0.71262587141750589</v>
      </c>
      <c r="M36" s="86"/>
      <c r="O36" s="101">
        <f t="shared" si="8"/>
        <v>205.6616362161522</v>
      </c>
      <c r="P36" s="87">
        <f>(E65+B51)/O36</f>
        <v>0.2751140746945252</v>
      </c>
      <c r="Q36" s="87">
        <f t="shared" si="10"/>
        <v>0.47143002380905769</v>
      </c>
      <c r="R36" s="87">
        <f t="shared" si="11"/>
        <v>0.253455901496417</v>
      </c>
      <c r="S36" s="86"/>
    </row>
    <row r="37" spans="1:19" ht="17" thickBot="1">
      <c r="A37" s="84" t="s">
        <v>868</v>
      </c>
      <c r="B37" s="48">
        <v>11.815608337355698</v>
      </c>
      <c r="C37" s="52">
        <v>21.661948618485496</v>
      </c>
      <c r="D37" t="s">
        <v>509</v>
      </c>
      <c r="E37" t="s">
        <v>832</v>
      </c>
      <c r="F37" s="105">
        <f t="shared" si="12"/>
        <v>9.8463402811297982</v>
      </c>
      <c r="H37" s="86"/>
      <c r="J37" s="91"/>
      <c r="K37" s="92"/>
      <c r="L37" s="93">
        <v>1</v>
      </c>
      <c r="M37" s="104">
        <f>MAX(L25:L36)</f>
        <v>1.7699457784663053</v>
      </c>
      <c r="O37" s="102"/>
      <c r="P37" s="99"/>
      <c r="Q37" s="99"/>
      <c r="R37" s="99"/>
      <c r="S37" s="94"/>
    </row>
    <row r="38" spans="1:19">
      <c r="A38" s="84"/>
      <c r="B38" s="48"/>
      <c r="F38" s="105"/>
      <c r="H38" s="86"/>
    </row>
    <row r="39" spans="1:19">
      <c r="A39" s="88" t="s">
        <v>833</v>
      </c>
      <c r="B39" s="1" t="s">
        <v>876</v>
      </c>
      <c r="C39" s="1"/>
      <c r="D39" s="105" t="s">
        <v>953</v>
      </c>
      <c r="F39" s="105"/>
      <c r="G39">
        <f>G15/8760</f>
        <v>3.4426965698076614E-3</v>
      </c>
      <c r="H39" s="86"/>
    </row>
    <row r="40" spans="1:19">
      <c r="A40" s="84" t="s">
        <v>540</v>
      </c>
      <c r="B40" s="52">
        <f>$B$50</f>
        <v>27.202156083334476</v>
      </c>
      <c r="C40" s="52" t="s">
        <v>400</v>
      </c>
      <c r="D40" s="131">
        <f>B40+E54</f>
        <v>57.309135520951131</v>
      </c>
      <c r="E40">
        <v>57.309135520951131</v>
      </c>
      <c r="G40">
        <f t="shared" ref="G40:G48" si="13">G16/8760</f>
        <v>5.2996797323775135E-3</v>
      </c>
      <c r="H40" s="86"/>
    </row>
    <row r="41" spans="1:19">
      <c r="A41" s="84" t="s">
        <v>541</v>
      </c>
      <c r="B41" s="52">
        <f>$B$49</f>
        <v>53.76101793496855</v>
      </c>
      <c r="C41" s="52" t="s">
        <v>400</v>
      </c>
      <c r="D41" s="131">
        <f t="shared" ref="D41:D51" si="14">B41+E55</f>
        <v>85.795025856045655</v>
      </c>
      <c r="E41">
        <v>85.795025856045655</v>
      </c>
      <c r="G41">
        <f t="shared" si="13"/>
        <v>3.0784747793570545E-3</v>
      </c>
      <c r="H41" s="86"/>
    </row>
    <row r="42" spans="1:19">
      <c r="A42" s="84" t="s">
        <v>542</v>
      </c>
      <c r="B42" s="52">
        <f>$B$50</f>
        <v>27.202156083334476</v>
      </c>
      <c r="C42" s="52" t="s">
        <v>400</v>
      </c>
      <c r="D42" s="131">
        <f t="shared" si="14"/>
        <v>51.951354742603101</v>
      </c>
      <c r="E42">
        <v>51.951354742603101</v>
      </c>
      <c r="G42">
        <f t="shared" si="13"/>
        <v>1.7361185806306812E-3</v>
      </c>
      <c r="H42" s="86"/>
    </row>
    <row r="43" spans="1:19">
      <c r="A43" s="84" t="s">
        <v>539</v>
      </c>
      <c r="B43" s="52">
        <f>AVERAGE(B29:B31)*0.84</f>
        <v>11.579296170608464</v>
      </c>
      <c r="C43" s="52" t="s">
        <v>400</v>
      </c>
      <c r="D43" s="131">
        <f t="shared" si="14"/>
        <v>35.427690852806293</v>
      </c>
      <c r="E43">
        <v>35.427690852806293</v>
      </c>
      <c r="G43">
        <f t="shared" si="13"/>
        <v>4.7671273359121882E-3</v>
      </c>
      <c r="H43" s="86"/>
    </row>
    <row r="44" spans="1:19">
      <c r="A44" s="84" t="s">
        <v>543</v>
      </c>
      <c r="B44" s="52">
        <f>$B$49</f>
        <v>53.76101793496855</v>
      </c>
      <c r="C44" s="52" t="s">
        <v>400</v>
      </c>
      <c r="D44" s="131">
        <f t="shared" si="14"/>
        <v>82.557551148594726</v>
      </c>
      <c r="E44">
        <v>82.557551148594726</v>
      </c>
      <c r="G44">
        <f t="shared" si="13"/>
        <v>5.3669183977654326E-3</v>
      </c>
      <c r="H44" s="86"/>
      <c r="K44" t="s">
        <v>871</v>
      </c>
      <c r="L44">
        <v>33.827893175074202</v>
      </c>
    </row>
    <row r="45" spans="1:19">
      <c r="A45" s="84" t="s">
        <v>544</v>
      </c>
      <c r="B45" s="52">
        <f>$B$49</f>
        <v>53.76101793496855</v>
      </c>
      <c r="C45" s="52" t="s">
        <v>400</v>
      </c>
      <c r="D45" s="131">
        <f t="shared" si="14"/>
        <v>86.305320960263529</v>
      </c>
      <c r="E45">
        <v>86.305320960263529</v>
      </c>
      <c r="G45">
        <f t="shared" si="13"/>
        <v>5.1694509985904663E-3</v>
      </c>
      <c r="H45" s="86"/>
      <c r="K45" t="s">
        <v>872</v>
      </c>
      <c r="L45">
        <v>179.82195845697299</v>
      </c>
    </row>
    <row r="46" spans="1:19">
      <c r="A46" s="84" t="s">
        <v>545</v>
      </c>
      <c r="B46" s="52">
        <f t="shared" ref="B46" si="15">$B$49</f>
        <v>53.76101793496855</v>
      </c>
      <c r="C46" s="52" t="s">
        <v>400</v>
      </c>
      <c r="D46" s="131">
        <f t="shared" si="14"/>
        <v>86.948788605772663</v>
      </c>
      <c r="E46">
        <v>86.948788605772663</v>
      </c>
      <c r="G46">
        <f t="shared" si="13"/>
        <v>4.8761213298427076E-3</v>
      </c>
      <c r="H46" s="86"/>
      <c r="K46" t="s">
        <v>869</v>
      </c>
      <c r="L46">
        <v>8.9020771513354209</v>
      </c>
    </row>
    <row r="47" spans="1:19">
      <c r="A47" s="84" t="s">
        <v>546</v>
      </c>
      <c r="B47" s="52">
        <f>AVERAGE(B35:B36)*0.84</f>
        <v>32.256610760981289</v>
      </c>
      <c r="C47" s="52" t="s">
        <v>400</v>
      </c>
      <c r="D47" s="131">
        <f t="shared" si="14"/>
        <v>60.108760840428367</v>
      </c>
      <c r="E47">
        <v>60.108760840428367</v>
      </c>
      <c r="G47">
        <f t="shared" si="13"/>
        <v>3.2593197597198184E-3</v>
      </c>
      <c r="H47" s="86"/>
      <c r="K47" t="s">
        <v>870</v>
      </c>
      <c r="L47">
        <v>16.023738872403499</v>
      </c>
    </row>
    <row r="48" spans="1:19">
      <c r="A48" s="84" t="s">
        <v>547</v>
      </c>
      <c r="B48" s="52">
        <f>$B$50</f>
        <v>27.202156083334476</v>
      </c>
      <c r="C48" s="52" t="s">
        <v>400</v>
      </c>
      <c r="D48" s="131">
        <f t="shared" si="14"/>
        <v>52.960664522026974</v>
      </c>
      <c r="E48">
        <v>52.960664522026974</v>
      </c>
      <c r="G48">
        <f t="shared" si="13"/>
        <v>4.7708403691572891E-3</v>
      </c>
      <c r="H48" s="86"/>
      <c r="K48" s="1" t="s">
        <v>463</v>
      </c>
      <c r="L48" s="75">
        <f>L46</f>
        <v>8.9020771513354209</v>
      </c>
    </row>
    <row r="49" spans="1:12">
      <c r="A49" s="84" t="s">
        <v>548</v>
      </c>
      <c r="B49" s="52">
        <f>AVERAGE(B32:B33)*0.84</f>
        <v>53.76101793496855</v>
      </c>
      <c r="C49" s="52" t="s">
        <v>400</v>
      </c>
      <c r="D49" s="131">
        <f t="shared" si="14"/>
        <v>82.46047608408449</v>
      </c>
      <c r="E49">
        <v>82.46047608408449</v>
      </c>
      <c r="G49">
        <f>G25/8760</f>
        <v>3.3136280553378301E-3</v>
      </c>
      <c r="H49" s="86"/>
      <c r="K49" s="1" t="s">
        <v>887</v>
      </c>
      <c r="L49" s="75">
        <f>L47-L46</f>
        <v>7.1216617210680777</v>
      </c>
    </row>
    <row r="50" spans="1:12">
      <c r="A50" s="84" t="s">
        <v>449</v>
      </c>
      <c r="B50" s="52">
        <f>AVERAGE(B29:B37)*0.84</f>
        <v>27.202156083334476</v>
      </c>
      <c r="C50" s="52" t="s">
        <v>400</v>
      </c>
      <c r="D50" s="131">
        <f t="shared" si="14"/>
        <v>55.889563490741878</v>
      </c>
      <c r="E50">
        <v>55.889563490741878</v>
      </c>
      <c r="G50">
        <f>G26/8760</f>
        <v>5.950474361917011E-3</v>
      </c>
      <c r="H50" s="86"/>
      <c r="K50" s="1" t="s">
        <v>888</v>
      </c>
      <c r="L50" s="75">
        <f>L44-L46</f>
        <v>24.925816023738783</v>
      </c>
    </row>
    <row r="51" spans="1:12">
      <c r="A51" s="84" t="s">
        <v>214</v>
      </c>
      <c r="B51" s="52">
        <f>B34*0.84</f>
        <v>28.121147842906446</v>
      </c>
      <c r="C51" s="52" t="s">
        <v>400</v>
      </c>
      <c r="D51" s="131">
        <f t="shared" si="14"/>
        <v>56.580410747768767</v>
      </c>
      <c r="E51">
        <v>56.580410747768767</v>
      </c>
      <c r="H51" s="86"/>
      <c r="K51" s="1" t="s">
        <v>835</v>
      </c>
      <c r="L51" s="75">
        <f>L45-L44</f>
        <v>145.9940652818988</v>
      </c>
    </row>
    <row r="52" spans="1:12">
      <c r="A52" s="84"/>
      <c r="G52" s="49">
        <v>30.106979437616658</v>
      </c>
      <c r="H52" s="86"/>
    </row>
    <row r="53" spans="1:12">
      <c r="A53" s="97" t="s">
        <v>877</v>
      </c>
      <c r="B53" s="98" t="s">
        <v>840</v>
      </c>
      <c r="C53" s="52" t="s">
        <v>881</v>
      </c>
      <c r="D53" s="1" t="s">
        <v>884</v>
      </c>
      <c r="E53" s="1" t="s">
        <v>840</v>
      </c>
      <c r="F53" s="1"/>
      <c r="G53" s="49">
        <v>32.034007921077105</v>
      </c>
      <c r="H53" s="86"/>
    </row>
    <row r="54" spans="1:12">
      <c r="A54" s="84" t="s">
        <v>540</v>
      </c>
      <c r="B54" s="49">
        <f>SUM($P$11:$P$12)</f>
        <v>21.251999999999999</v>
      </c>
      <c r="C54" s="48">
        <f>$P$19*L25</f>
        <v>4.8284275755228512</v>
      </c>
      <c r="D54">
        <f>SUM(B54:C54)/$K$4-SUM(B54:C54)</f>
        <v>2.8978252861692049</v>
      </c>
      <c r="E54" s="48">
        <f>SUM(B54:C54)+D54*L10</f>
        <v>30.106979437616658</v>
      </c>
      <c r="F54" t="s">
        <v>778</v>
      </c>
      <c r="G54" s="49">
        <v>24.749198659268622</v>
      </c>
      <c r="H54" s="86"/>
    </row>
    <row r="55" spans="1:12">
      <c r="A55" s="84" t="s">
        <v>541</v>
      </c>
      <c r="B55">
        <f t="shared" ref="B55:B65" si="16">SUM($P$11:$P$12)</f>
        <v>21.251999999999999</v>
      </c>
      <c r="C55" s="48">
        <f t="shared" ref="C55:C65" si="17">$P$19*L26</f>
        <v>6.367157242447715</v>
      </c>
      <c r="D55">
        <f t="shared" ref="D55:D65" si="18">SUM(B55:C55)/$K$4-SUM(B55:C55)</f>
        <v>3.068795249160857</v>
      </c>
      <c r="E55" s="48">
        <f t="shared" ref="E55:E65" si="19">SUM(B55:C55)+D55*L11</f>
        <v>32.034007921077105</v>
      </c>
      <c r="F55" t="s">
        <v>778</v>
      </c>
      <c r="G55" s="49">
        <v>23.848394682197828</v>
      </c>
      <c r="H55" s="86"/>
    </row>
    <row r="56" spans="1:12">
      <c r="A56" s="84" t="s">
        <v>542</v>
      </c>
      <c r="B56">
        <f t="shared" si="16"/>
        <v>21.251999999999999</v>
      </c>
      <c r="C56" s="48">
        <f t="shared" si="17"/>
        <v>2.7237283759359672</v>
      </c>
      <c r="D56">
        <f t="shared" si="18"/>
        <v>2.6639698195484414</v>
      </c>
      <c r="E56" s="48">
        <f t="shared" si="19"/>
        <v>24.749198659268622</v>
      </c>
      <c r="F56" t="s">
        <v>778</v>
      </c>
      <c r="G56" s="49">
        <v>28.796533213626173</v>
      </c>
      <c r="H56" s="86"/>
    </row>
    <row r="57" spans="1:12">
      <c r="A57" s="84" t="s">
        <v>539</v>
      </c>
      <c r="B57">
        <f t="shared" si="16"/>
        <v>21.251999999999999</v>
      </c>
      <c r="C57" s="48">
        <f t="shared" si="17"/>
        <v>1.3795507358636716</v>
      </c>
      <c r="D57">
        <f t="shared" si="18"/>
        <v>2.5146167484292974</v>
      </c>
      <c r="E57" s="48">
        <f t="shared" si="19"/>
        <v>23.848394682197828</v>
      </c>
      <c r="F57" t="s">
        <v>778</v>
      </c>
      <c r="G57" s="49">
        <v>32.54430302529498</v>
      </c>
      <c r="H57" s="86"/>
    </row>
    <row r="58" spans="1:12">
      <c r="A58" s="84" t="s">
        <v>543</v>
      </c>
      <c r="B58">
        <f t="shared" si="16"/>
        <v>21.251999999999999</v>
      </c>
      <c r="C58" s="48">
        <f t="shared" si="17"/>
        <v>6.3494706945520267</v>
      </c>
      <c r="D58">
        <f t="shared" si="18"/>
        <v>3.0668300771724475</v>
      </c>
      <c r="E58" s="48">
        <f t="shared" si="19"/>
        <v>28.796533213626173</v>
      </c>
      <c r="F58" t="s">
        <v>778</v>
      </c>
      <c r="G58" s="49">
        <v>33.187770670804113</v>
      </c>
      <c r="H58" s="86"/>
    </row>
    <row r="59" spans="1:12">
      <c r="A59" s="84" t="s">
        <v>544</v>
      </c>
      <c r="B59">
        <f t="shared" si="16"/>
        <v>21.251999999999999</v>
      </c>
      <c r="C59" s="48">
        <f t="shared" si="17"/>
        <v>6.4555899819261553</v>
      </c>
      <c r="D59">
        <f t="shared" si="18"/>
        <v>3.0786211091029045</v>
      </c>
      <c r="E59" s="48">
        <f t="shared" si="19"/>
        <v>32.54430302529498</v>
      </c>
      <c r="F59" t="s">
        <v>778</v>
      </c>
      <c r="G59" s="49">
        <v>27.852150079447078</v>
      </c>
      <c r="H59" s="86"/>
    </row>
    <row r="60" spans="1:12">
      <c r="A60" s="84" t="s">
        <v>545</v>
      </c>
      <c r="B60">
        <f t="shared" si="16"/>
        <v>21.251999999999999</v>
      </c>
      <c r="C60" s="48">
        <f t="shared" si="17"/>
        <v>8.0827523883294603</v>
      </c>
      <c r="D60">
        <f t="shared" si="18"/>
        <v>3.2594169320366042</v>
      </c>
      <c r="E60" s="48">
        <f t="shared" si="19"/>
        <v>33.187770670804113</v>
      </c>
      <c r="F60" t="s">
        <v>778</v>
      </c>
      <c r="G60" s="49">
        <v>25.758508438692495</v>
      </c>
      <c r="H60" s="86"/>
    </row>
    <row r="61" spans="1:12">
      <c r="A61" s="84" t="s">
        <v>546</v>
      </c>
      <c r="B61">
        <f t="shared" si="16"/>
        <v>21.251999999999999</v>
      </c>
      <c r="C61" s="48">
        <f t="shared" si="17"/>
        <v>3.9087270849470697</v>
      </c>
      <c r="D61">
        <f t="shared" si="18"/>
        <v>2.7956363427718962</v>
      </c>
      <c r="E61" s="48">
        <f t="shared" si="19"/>
        <v>27.852150079447078</v>
      </c>
      <c r="F61" t="s">
        <v>778</v>
      </c>
      <c r="G61" s="49">
        <v>28.699458149115941</v>
      </c>
      <c r="H61" s="86"/>
    </row>
    <row r="62" spans="1:12">
      <c r="A62" s="84" t="s">
        <v>547</v>
      </c>
      <c r="B62">
        <f t="shared" si="16"/>
        <v>21.251999999999999</v>
      </c>
      <c r="C62" s="48">
        <f t="shared" si="17"/>
        <v>2.3169377743351411</v>
      </c>
      <c r="D62">
        <f t="shared" si="18"/>
        <v>2.6187708638150156</v>
      </c>
      <c r="E62" s="48">
        <f t="shared" si="19"/>
        <v>25.758508438692495</v>
      </c>
      <c r="F62" t="s">
        <v>778</v>
      </c>
      <c r="G62" s="49">
        <v>28.687407407407406</v>
      </c>
      <c r="H62" s="86"/>
    </row>
    <row r="63" spans="1:12">
      <c r="A63" s="84" t="s">
        <v>548</v>
      </c>
      <c r="B63">
        <f t="shared" si="16"/>
        <v>21.251999999999999</v>
      </c>
      <c r="C63" s="48">
        <f t="shared" si="17"/>
        <v>4.5666666666666664</v>
      </c>
      <c r="D63">
        <f t="shared" si="18"/>
        <v>2.8687407407407406</v>
      </c>
      <c r="E63" s="48">
        <f t="shared" si="19"/>
        <v>28.699458149115941</v>
      </c>
      <c r="F63" t="s">
        <v>778</v>
      </c>
      <c r="G63" s="49">
        <v>28.459262904862317</v>
      </c>
      <c r="H63" s="86"/>
    </row>
    <row r="64" spans="1:12">
      <c r="A64" s="84" t="s">
        <v>449</v>
      </c>
      <c r="B64">
        <f t="shared" si="16"/>
        <v>21.251999999999999</v>
      </c>
      <c r="C64" s="48">
        <f t="shared" si="17"/>
        <v>4.5666666666666664</v>
      </c>
      <c r="D64">
        <f t="shared" si="18"/>
        <v>2.8687407407407406</v>
      </c>
      <c r="E64" s="48">
        <f t="shared" si="19"/>
        <v>28.687407407407406</v>
      </c>
      <c r="F64" t="s">
        <v>778</v>
      </c>
      <c r="H64" s="86"/>
    </row>
    <row r="65" spans="1:8" ht="17" thickBot="1">
      <c r="A65" s="91" t="s">
        <v>214</v>
      </c>
      <c r="B65" s="99">
        <f t="shared" si="16"/>
        <v>21.251999999999999</v>
      </c>
      <c r="C65" s="93">
        <f t="shared" si="17"/>
        <v>3.25432481280661</v>
      </c>
      <c r="D65" s="99">
        <f t="shared" si="18"/>
        <v>2.7229249792007337</v>
      </c>
      <c r="E65" s="93">
        <f t="shared" si="19"/>
        <v>28.459262904862317</v>
      </c>
      <c r="F65" s="99" t="s">
        <v>778</v>
      </c>
      <c r="G65" s="99"/>
      <c r="H65" s="94"/>
    </row>
    <row r="67" spans="1:8">
      <c r="A67" s="1" t="s">
        <v>889</v>
      </c>
      <c r="B67" t="s">
        <v>890</v>
      </c>
      <c r="C67" s="52"/>
      <c r="D67" t="s">
        <v>895</v>
      </c>
      <c r="E67" t="s">
        <v>896</v>
      </c>
      <c r="F67" t="s">
        <v>897</v>
      </c>
      <c r="G67" t="s">
        <v>899</v>
      </c>
    </row>
    <row r="68" spans="1:8">
      <c r="A68" t="s">
        <v>540</v>
      </c>
      <c r="B68">
        <v>113.39999999999999</v>
      </c>
      <c r="C68" t="s">
        <v>400</v>
      </c>
      <c r="D68" s="26">
        <f t="shared" ref="D68:D79" si="20">(E54+B40)/B68</f>
        <v>0.50537156544048623</v>
      </c>
      <c r="E68" s="52">
        <f>F15/$D68</f>
        <v>110.99588547467502</v>
      </c>
      <c r="F68" s="52">
        <f>G15/$D68</f>
        <v>59.674948125008022</v>
      </c>
    </row>
    <row r="69" spans="1:8">
      <c r="A69" t="s">
        <v>541</v>
      </c>
      <c r="B69">
        <v>142.79999999999998</v>
      </c>
      <c r="C69" t="s">
        <v>400</v>
      </c>
      <c r="D69" s="26">
        <f t="shared" si="20"/>
        <v>0.60080550319359705</v>
      </c>
      <c r="E69" s="52">
        <f t="shared" ref="E69:F79" si="21">F16/$D69</f>
        <v>143.72577511283882</v>
      </c>
      <c r="F69" s="52">
        <f t="shared" si="21"/>
        <v>77.271586576442303</v>
      </c>
    </row>
    <row r="70" spans="1:8">
      <c r="A70" t="s">
        <v>542</v>
      </c>
      <c r="B70">
        <v>113.39999999999999</v>
      </c>
      <c r="C70" t="s">
        <v>400</v>
      </c>
      <c r="D70" s="26">
        <f t="shared" si="20"/>
        <v>0.45812482136334309</v>
      </c>
      <c r="E70" s="52">
        <f t="shared" si="21"/>
        <v>109.48905653491204</v>
      </c>
      <c r="F70" s="52">
        <f t="shared" si="21"/>
        <v>58.864828556799949</v>
      </c>
    </row>
    <row r="71" spans="1:8">
      <c r="A71" t="s">
        <v>539</v>
      </c>
      <c r="B71">
        <v>50.4</v>
      </c>
      <c r="C71" t="s">
        <v>400</v>
      </c>
      <c r="D71" s="26">
        <f t="shared" si="20"/>
        <v>0.70293037406361691</v>
      </c>
      <c r="E71" s="52">
        <f t="shared" si="21"/>
        <v>40.242598099459229</v>
      </c>
      <c r="F71" s="52">
        <f t="shared" si="21"/>
        <v>21.63571148363603</v>
      </c>
    </row>
    <row r="72" spans="1:8">
      <c r="A72" t="s">
        <v>543</v>
      </c>
      <c r="B72" s="53">
        <v>142.79999999999998</v>
      </c>
      <c r="C72" t="s">
        <v>400</v>
      </c>
      <c r="D72" s="26">
        <f t="shared" si="20"/>
        <v>0.57813411168483708</v>
      </c>
      <c r="E72" s="52">
        <f t="shared" si="21"/>
        <v>134.35291511720715</v>
      </c>
      <c r="F72" s="52">
        <f t="shared" si="21"/>
        <v>72.23243641668347</v>
      </c>
    </row>
    <row r="73" spans="1:8">
      <c r="A73" t="s">
        <v>544</v>
      </c>
      <c r="B73">
        <v>142.79999999999998</v>
      </c>
      <c r="C73" t="s">
        <v>400</v>
      </c>
      <c r="D73" s="26">
        <f t="shared" si="20"/>
        <v>0.60437899832117326</v>
      </c>
      <c r="E73" s="52">
        <f t="shared" si="21"/>
        <v>144.68868302331893</v>
      </c>
      <c r="F73" s="52">
        <f t="shared" si="21"/>
        <v>77.78927675352702</v>
      </c>
    </row>
    <row r="74" spans="1:8">
      <c r="A74" t="s">
        <v>545</v>
      </c>
      <c r="B74">
        <v>142.79999999999998</v>
      </c>
      <c r="C74" t="s">
        <v>400</v>
      </c>
      <c r="D74" s="26">
        <f t="shared" si="20"/>
        <v>0.60888507427011673</v>
      </c>
      <c r="E74" s="52">
        <f t="shared" si="21"/>
        <v>138.33371203759839</v>
      </c>
      <c r="F74" s="52">
        <f t="shared" si="21"/>
        <v>74.372640521589119</v>
      </c>
    </row>
    <row r="75" spans="1:8">
      <c r="A75" t="s">
        <v>546</v>
      </c>
      <c r="B75">
        <v>113.39999999999999</v>
      </c>
      <c r="C75" t="s">
        <v>400</v>
      </c>
      <c r="D75" s="26">
        <f t="shared" si="20"/>
        <v>0.53005961940413027</v>
      </c>
      <c r="E75" s="52">
        <f t="shared" si="21"/>
        <v>149.88864002444609</v>
      </c>
      <c r="F75" s="52">
        <f t="shared" si="21"/>
        <v>80.584940421306285</v>
      </c>
    </row>
    <row r="76" spans="1:8">
      <c r="A76" t="s">
        <v>547</v>
      </c>
      <c r="B76">
        <v>113.39999999999999</v>
      </c>
      <c r="C76" t="s">
        <v>400</v>
      </c>
      <c r="D76" s="26">
        <f t="shared" si="20"/>
        <v>0.46702526033533492</v>
      </c>
      <c r="E76" s="52">
        <f t="shared" si="21"/>
        <v>113.71180007467801</v>
      </c>
      <c r="F76" s="52">
        <f t="shared" si="21"/>
        <v>61.135110924503039</v>
      </c>
    </row>
    <row r="77" spans="1:8">
      <c r="A77" t="s">
        <v>548</v>
      </c>
      <c r="B77">
        <v>142.79999999999998</v>
      </c>
      <c r="C77" t="s">
        <v>400</v>
      </c>
      <c r="D77" s="26">
        <f t="shared" si="20"/>
        <v>0.57745431431431726</v>
      </c>
      <c r="E77" s="52">
        <f t="shared" si="21"/>
        <v>134.61584795160331</v>
      </c>
      <c r="F77" s="52">
        <f t="shared" si="21"/>
        <v>72.373797541790495</v>
      </c>
    </row>
    <row r="78" spans="1:8">
      <c r="A78" t="s">
        <v>449</v>
      </c>
      <c r="B78">
        <v>113.39999999999999</v>
      </c>
      <c r="C78" t="s">
        <v>400</v>
      </c>
      <c r="D78" s="26">
        <f t="shared" si="20"/>
        <v>0.49285329356915242</v>
      </c>
      <c r="E78" s="52">
        <f t="shared" si="21"/>
        <v>109.54814591957535</v>
      </c>
      <c r="F78" s="52">
        <f t="shared" si="21"/>
        <v>58.896596905234134</v>
      </c>
      <c r="H78" s="132"/>
    </row>
    <row r="79" spans="1:8">
      <c r="A79" t="s">
        <v>214</v>
      </c>
      <c r="B79">
        <v>147</v>
      </c>
      <c r="C79" t="s">
        <v>400</v>
      </c>
      <c r="D79" s="26">
        <f t="shared" si="20"/>
        <v>0.38490075338618207</v>
      </c>
      <c r="E79" s="52">
        <f t="shared" si="21"/>
        <v>251.89628548404676</v>
      </c>
      <c r="F79" s="52">
        <f t="shared" si="21"/>
        <v>135.42752242444519</v>
      </c>
    </row>
    <row r="82" spans="2:6">
      <c r="B82">
        <f>B68/12.94</f>
        <v>8.7635239567233381</v>
      </c>
      <c r="E82" s="133">
        <f>0.5*10^6*E78</f>
        <v>54774072.959787674</v>
      </c>
    </row>
    <row r="83" spans="2:6">
      <c r="E83" s="133">
        <f>(225+242+170)*1000</f>
        <v>637000</v>
      </c>
      <c r="F83" s="134">
        <f>E82/8760</f>
        <v>6252.7480547702826</v>
      </c>
    </row>
  </sheetData>
  <mergeCells count="2">
    <mergeCell ref="J8:L8"/>
    <mergeCell ref="F3:H4"/>
  </mergeCells>
  <phoneticPr fontId="2" type="noConversion"/>
  <conditionalFormatting sqref="V8:V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:W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A5BD-E825-564F-B00A-F565CBF65742}">
  <dimension ref="A1:V41"/>
  <sheetViews>
    <sheetView workbookViewId="0">
      <selection activeCell="H10" sqref="H10"/>
    </sheetView>
  </sheetViews>
  <sheetFormatPr baseColWidth="10" defaultRowHeight="16"/>
  <cols>
    <col min="1" max="1" width="14.33203125" bestFit="1" customWidth="1"/>
    <col min="2" max="2" width="15.1640625" customWidth="1"/>
    <col min="3" max="3" width="12.6640625" bestFit="1" customWidth="1"/>
    <col min="5" max="5" width="12.6640625" bestFit="1" customWidth="1"/>
    <col min="8" max="8" width="13.83203125" bestFit="1" customWidth="1"/>
  </cols>
  <sheetData>
    <row r="1" spans="1:22">
      <c r="A1" s="1" t="s">
        <v>315</v>
      </c>
      <c r="B1" s="1" t="s">
        <v>316</v>
      </c>
      <c r="C1" s="1" t="s">
        <v>3</v>
      </c>
      <c r="D1" s="1" t="s">
        <v>317</v>
      </c>
      <c r="E1" s="1"/>
      <c r="F1" s="1" t="s">
        <v>1</v>
      </c>
      <c r="G1" s="1" t="s">
        <v>4</v>
      </c>
      <c r="H1" s="1" t="s">
        <v>318</v>
      </c>
    </row>
    <row r="2" spans="1:22">
      <c r="A2" t="s">
        <v>319</v>
      </c>
      <c r="B2">
        <v>1430</v>
      </c>
      <c r="C2" t="s">
        <v>320</v>
      </c>
      <c r="F2">
        <v>2030</v>
      </c>
      <c r="G2" t="s">
        <v>321</v>
      </c>
      <c r="H2" t="s">
        <v>335</v>
      </c>
    </row>
    <row r="3" spans="1:22">
      <c r="A3" t="s">
        <v>322</v>
      </c>
      <c r="B3">
        <v>2088</v>
      </c>
      <c r="C3" t="s">
        <v>320</v>
      </c>
      <c r="G3" t="s">
        <v>323</v>
      </c>
    </row>
    <row r="4" spans="1:22">
      <c r="A4" t="s">
        <v>324</v>
      </c>
      <c r="B4">
        <v>675</v>
      </c>
      <c r="C4" t="s">
        <v>320</v>
      </c>
      <c r="G4" t="s">
        <v>323</v>
      </c>
    </row>
    <row r="5" spans="1:22">
      <c r="A5" t="s">
        <v>325</v>
      </c>
      <c r="B5">
        <v>3</v>
      </c>
      <c r="C5" t="s">
        <v>320</v>
      </c>
      <c r="G5" t="s">
        <v>323</v>
      </c>
      <c r="H5" t="s">
        <v>371</v>
      </c>
    </row>
    <row r="6" spans="1:22">
      <c r="A6" t="s">
        <v>370</v>
      </c>
      <c r="B6">
        <v>1</v>
      </c>
      <c r="C6" t="s">
        <v>320</v>
      </c>
    </row>
    <row r="8" spans="1:22">
      <c r="A8" t="s">
        <v>763</v>
      </c>
      <c r="B8">
        <f>AVERAGE(B2:B4)</f>
        <v>1397.6666666666667</v>
      </c>
    </row>
    <row r="9" spans="1:22">
      <c r="A9" s="1" t="s">
        <v>139</v>
      </c>
      <c r="B9" s="1" t="s">
        <v>122</v>
      </c>
      <c r="C9" s="1" t="s">
        <v>326</v>
      </c>
      <c r="D9" s="1" t="s">
        <v>327</v>
      </c>
      <c r="E9" s="1" t="s">
        <v>361</v>
      </c>
      <c r="F9" s="1" t="s">
        <v>328</v>
      </c>
      <c r="G9" s="1" t="s">
        <v>329</v>
      </c>
      <c r="H9" s="1" t="s">
        <v>4</v>
      </c>
      <c r="I9" s="1" t="s">
        <v>333</v>
      </c>
      <c r="M9" s="27" t="s">
        <v>337</v>
      </c>
      <c r="N9" s="27"/>
      <c r="O9" s="37" t="s">
        <v>210</v>
      </c>
      <c r="P9" s="1" t="s">
        <v>336</v>
      </c>
    </row>
    <row r="10" spans="1:22" ht="17" customHeight="1">
      <c r="A10" t="s">
        <v>330</v>
      </c>
      <c r="B10" s="12">
        <v>811000</v>
      </c>
      <c r="C10" s="12">
        <f>1683*10^6</f>
        <v>1683000000</v>
      </c>
      <c r="D10" t="s">
        <v>124</v>
      </c>
      <c r="E10" s="12">
        <f>B10</f>
        <v>811000</v>
      </c>
      <c r="F10" t="s">
        <v>331</v>
      </c>
      <c r="G10">
        <v>2020</v>
      </c>
      <c r="H10" s="38" t="s">
        <v>332</v>
      </c>
      <c r="I10" t="s">
        <v>334</v>
      </c>
      <c r="M10" s="16" t="s">
        <v>354</v>
      </c>
      <c r="N10" s="35" t="s">
        <v>338</v>
      </c>
      <c r="O10" s="35" t="s">
        <v>339</v>
      </c>
      <c r="P10" s="35" t="s">
        <v>340</v>
      </c>
      <c r="Q10" s="35" t="s">
        <v>341</v>
      </c>
      <c r="R10" s="35" t="s">
        <v>342</v>
      </c>
      <c r="S10" s="36" t="s">
        <v>355</v>
      </c>
    </row>
    <row r="11" spans="1:22" ht="17" customHeight="1">
      <c r="A11" t="s">
        <v>330</v>
      </c>
      <c r="B11" s="12">
        <v>1581392661</v>
      </c>
      <c r="C11" s="12"/>
      <c r="D11" t="s">
        <v>769</v>
      </c>
      <c r="E11" s="12">
        <f>B11/$T$23</f>
        <v>1178727.7399886842</v>
      </c>
      <c r="G11">
        <v>2023</v>
      </c>
      <c r="H11" s="38" t="s">
        <v>770</v>
      </c>
      <c r="M11" s="16"/>
      <c r="N11" s="69"/>
      <c r="O11" s="69"/>
      <c r="P11" s="69"/>
      <c r="Q11" s="69"/>
      <c r="R11" s="69"/>
      <c r="S11" s="70"/>
    </row>
    <row r="12" spans="1:22" ht="17" customHeight="1">
      <c r="A12" t="s">
        <v>105</v>
      </c>
      <c r="B12">
        <v>0</v>
      </c>
      <c r="C12">
        <v>0</v>
      </c>
      <c r="F12" t="s">
        <v>331</v>
      </c>
      <c r="G12">
        <v>2023</v>
      </c>
      <c r="H12" s="38" t="s">
        <v>363</v>
      </c>
      <c r="I12" t="s">
        <v>364</v>
      </c>
      <c r="N12" s="28" t="s">
        <v>343</v>
      </c>
      <c r="O12" s="29">
        <v>17762</v>
      </c>
      <c r="P12" s="29">
        <v>0</v>
      </c>
      <c r="Q12" s="29">
        <v>17.7</v>
      </c>
      <c r="R12" s="29">
        <v>17744.3</v>
      </c>
      <c r="S12" s="29">
        <v>11977387.800000001</v>
      </c>
    </row>
    <row r="13" spans="1:22">
      <c r="A13" t="s">
        <v>214</v>
      </c>
      <c r="B13" s="12">
        <f>R16/1.103</f>
        <v>55645.421577515866</v>
      </c>
      <c r="D13" t="s">
        <v>124</v>
      </c>
      <c r="F13" t="s">
        <v>319</v>
      </c>
      <c r="G13">
        <v>2022</v>
      </c>
      <c r="H13" s="38" t="s">
        <v>336</v>
      </c>
      <c r="N13" s="30" t="s">
        <v>344</v>
      </c>
      <c r="O13" s="29">
        <v>25.4</v>
      </c>
      <c r="P13" s="29">
        <v>1.6</v>
      </c>
      <c r="Q13" s="29">
        <v>1.8</v>
      </c>
      <c r="R13" s="29">
        <v>22</v>
      </c>
      <c r="S13" s="29">
        <v>2027.6</v>
      </c>
    </row>
    <row r="14" spans="1:22">
      <c r="A14" t="s">
        <v>214</v>
      </c>
      <c r="B14" s="12">
        <f>R23</f>
        <v>133907.20000000001</v>
      </c>
      <c r="D14" t="s">
        <v>124</v>
      </c>
      <c r="E14" s="12">
        <v>133907.20000000001</v>
      </c>
      <c r="F14" t="s">
        <v>331</v>
      </c>
      <c r="G14">
        <v>2022</v>
      </c>
      <c r="H14" t="s">
        <v>336</v>
      </c>
      <c r="N14" s="30" t="s">
        <v>345</v>
      </c>
      <c r="O14" s="29">
        <v>19223.099999999999</v>
      </c>
      <c r="P14" s="29">
        <v>0</v>
      </c>
      <c r="Q14" s="29">
        <v>47.4</v>
      </c>
      <c r="R14" s="29">
        <v>19175.7</v>
      </c>
      <c r="S14" s="29">
        <v>67115020.599999994</v>
      </c>
    </row>
    <row r="15" spans="1:22">
      <c r="A15" t="s">
        <v>222</v>
      </c>
      <c r="B15" s="12">
        <v>15518000</v>
      </c>
      <c r="D15" t="s">
        <v>359</v>
      </c>
      <c r="E15" s="12">
        <f>B15/$T$23</f>
        <v>11566.701629674757</v>
      </c>
      <c r="F15" t="s">
        <v>331</v>
      </c>
      <c r="G15">
        <v>2022</v>
      </c>
      <c r="H15" t="s">
        <v>356</v>
      </c>
      <c r="N15" s="30" t="s">
        <v>346</v>
      </c>
      <c r="O15" s="29">
        <v>516.1</v>
      </c>
      <c r="P15" s="29">
        <v>0</v>
      </c>
      <c r="Q15" s="29">
        <v>1.8</v>
      </c>
      <c r="R15" s="29">
        <v>514.29999999999995</v>
      </c>
      <c r="S15" s="29">
        <v>565688.19999999995</v>
      </c>
    </row>
    <row r="16" spans="1:22">
      <c r="A16" t="s">
        <v>197</v>
      </c>
      <c r="B16" s="12">
        <v>6950000</v>
      </c>
      <c r="D16" t="s">
        <v>359</v>
      </c>
      <c r="E16" s="12">
        <f>B16/$T$23</f>
        <v>5180.3438797679828</v>
      </c>
      <c r="F16" t="s">
        <v>331</v>
      </c>
      <c r="G16">
        <v>2022</v>
      </c>
      <c r="H16" t="s">
        <v>357</v>
      </c>
      <c r="N16" s="30" t="s">
        <v>319</v>
      </c>
      <c r="O16" s="29">
        <v>61397.7</v>
      </c>
      <c r="P16" s="29">
        <v>0</v>
      </c>
      <c r="Q16" s="29">
        <v>20.8</v>
      </c>
      <c r="R16" s="29">
        <v>61376.9</v>
      </c>
      <c r="S16" s="29">
        <v>87768927.099999994</v>
      </c>
      <c r="V16" t="s">
        <v>768</v>
      </c>
    </row>
    <row r="17" spans="1:20">
      <c r="A17" t="s">
        <v>11</v>
      </c>
      <c r="B17" s="12">
        <v>28965000</v>
      </c>
      <c r="D17" t="s">
        <v>359</v>
      </c>
      <c r="E17" s="12">
        <f>B17/$T$23</f>
        <v>21589.735320500666</v>
      </c>
      <c r="F17" t="s">
        <v>331</v>
      </c>
      <c r="G17">
        <v>2022</v>
      </c>
      <c r="H17" t="s">
        <v>358</v>
      </c>
      <c r="N17" s="30" t="s">
        <v>347</v>
      </c>
      <c r="O17" s="29">
        <v>42.8</v>
      </c>
      <c r="P17" s="29">
        <v>0</v>
      </c>
      <c r="Q17" s="29">
        <v>48.8</v>
      </c>
      <c r="R17" s="29">
        <v>-6.1</v>
      </c>
      <c r="S17" s="29">
        <v>-27136.9</v>
      </c>
    </row>
    <row r="18" spans="1:20">
      <c r="A18" t="s">
        <v>16</v>
      </c>
      <c r="B18" s="12">
        <v>2769080</v>
      </c>
      <c r="D18" t="s">
        <v>359</v>
      </c>
      <c r="E18" s="12">
        <f>B18/$T$23</f>
        <v>2063.9980763435865</v>
      </c>
      <c r="F18" t="s">
        <v>331</v>
      </c>
      <c r="G18">
        <v>2023</v>
      </c>
      <c r="H18" t="s">
        <v>362</v>
      </c>
      <c r="N18" s="30" t="s">
        <v>348</v>
      </c>
      <c r="O18" s="29">
        <v>33453.599999999999</v>
      </c>
      <c r="P18" s="29">
        <v>3797.9</v>
      </c>
      <c r="Q18" s="29">
        <v>0.8</v>
      </c>
      <c r="R18" s="29">
        <v>29654.9</v>
      </c>
      <c r="S18" s="29">
        <v>3677202.6</v>
      </c>
    </row>
    <row r="19" spans="1:20">
      <c r="A19" t="s">
        <v>19</v>
      </c>
      <c r="B19" s="12">
        <v>0</v>
      </c>
      <c r="E19" s="12">
        <f>B19/$T$23</f>
        <v>0</v>
      </c>
      <c r="F19" t="s">
        <v>331</v>
      </c>
      <c r="G19">
        <v>2023</v>
      </c>
      <c r="H19" t="s">
        <v>362</v>
      </c>
      <c r="N19" s="30" t="s">
        <v>349</v>
      </c>
      <c r="O19" s="29">
        <v>1365.3</v>
      </c>
      <c r="P19" s="29">
        <v>0</v>
      </c>
      <c r="Q19" s="29">
        <v>40.6</v>
      </c>
      <c r="R19" s="29">
        <v>1324.7</v>
      </c>
      <c r="S19" s="29">
        <v>4265637.5</v>
      </c>
    </row>
    <row r="20" spans="1:20">
      <c r="A20" t="s">
        <v>198</v>
      </c>
      <c r="B20" s="12">
        <v>0</v>
      </c>
      <c r="E20" s="12">
        <v>0</v>
      </c>
      <c r="F20" t="s">
        <v>331</v>
      </c>
      <c r="G20">
        <v>2023</v>
      </c>
      <c r="H20" s="38" t="s">
        <v>365</v>
      </c>
      <c r="N20" s="30" t="s">
        <v>350</v>
      </c>
      <c r="O20" s="29">
        <v>32.6</v>
      </c>
      <c r="P20" s="29">
        <v>0</v>
      </c>
      <c r="Q20" s="29">
        <v>0</v>
      </c>
      <c r="R20" s="29">
        <v>32.6</v>
      </c>
      <c r="S20" s="29">
        <v>44673.4</v>
      </c>
    </row>
    <row r="21" spans="1:20">
      <c r="A21" t="s">
        <v>366</v>
      </c>
      <c r="B21" s="12">
        <v>0</v>
      </c>
      <c r="E21">
        <v>0</v>
      </c>
      <c r="F21" t="s">
        <v>331</v>
      </c>
      <c r="G21">
        <v>2023</v>
      </c>
      <c r="H21" s="38" t="s">
        <v>367</v>
      </c>
      <c r="N21" s="30" t="s">
        <v>351</v>
      </c>
      <c r="O21" s="29">
        <v>17416.2</v>
      </c>
      <c r="P21" s="29">
        <v>13350.2</v>
      </c>
      <c r="Q21" s="29">
        <v>3.3</v>
      </c>
      <c r="R21" s="29">
        <v>4062.7</v>
      </c>
      <c r="S21" s="29">
        <v>4184584.1</v>
      </c>
    </row>
    <row r="22" spans="1:20">
      <c r="A22" t="s">
        <v>368</v>
      </c>
      <c r="B22" s="12">
        <v>0</v>
      </c>
      <c r="E22">
        <v>0</v>
      </c>
      <c r="F22" t="s">
        <v>331</v>
      </c>
      <c r="G22">
        <v>2024</v>
      </c>
      <c r="H22" s="38" t="s">
        <v>369</v>
      </c>
      <c r="M22" s="33" t="s">
        <v>353</v>
      </c>
      <c r="N22" s="30" t="s">
        <v>352</v>
      </c>
      <c r="O22" s="29">
        <v>745.2</v>
      </c>
      <c r="P22" s="29">
        <v>0</v>
      </c>
      <c r="Q22" s="29">
        <v>740</v>
      </c>
      <c r="R22" s="29">
        <v>5.2</v>
      </c>
      <c r="S22" s="29">
        <v>77196.800000000003</v>
      </c>
      <c r="T22" t="s">
        <v>360</v>
      </c>
    </row>
    <row r="23" spans="1:20">
      <c r="A23" t="s">
        <v>767</v>
      </c>
      <c r="B23" s="68">
        <f>461*10^6</f>
        <v>461000000</v>
      </c>
      <c r="D23" t="s">
        <v>359</v>
      </c>
      <c r="E23" s="12">
        <f>B23/$T$23</f>
        <v>343617.05447094102</v>
      </c>
      <c r="F23" t="s">
        <v>331</v>
      </c>
      <c r="G23">
        <v>2019</v>
      </c>
      <c r="M23" s="34">
        <v>45441</v>
      </c>
      <c r="N23" s="31" t="s">
        <v>96</v>
      </c>
      <c r="O23" s="32">
        <f>SUM(O12:O22)</f>
        <v>151980</v>
      </c>
      <c r="P23" s="32">
        <f t="shared" ref="P23:S23" si="0">SUM(P12:P22)</f>
        <v>17149.7</v>
      </c>
      <c r="Q23" s="32">
        <f t="shared" si="0"/>
        <v>923</v>
      </c>
      <c r="R23" s="32">
        <f t="shared" si="0"/>
        <v>133907.20000000001</v>
      </c>
      <c r="S23" s="39">
        <f t="shared" si="0"/>
        <v>179651208.80000001</v>
      </c>
      <c r="T23" s="40">
        <f>S23/R23</f>
        <v>1341.6097775175645</v>
      </c>
    </row>
    <row r="24" spans="1:20">
      <c r="A24" t="s">
        <v>765</v>
      </c>
      <c r="E24">
        <f>E10/0.7</f>
        <v>1158571.4285714286</v>
      </c>
    </row>
    <row r="25" spans="1:20">
      <c r="B25" t="s">
        <v>764</v>
      </c>
      <c r="L25" t="s">
        <v>396</v>
      </c>
    </row>
    <row r="26" spans="1:20">
      <c r="A26" s="1" t="s">
        <v>540</v>
      </c>
      <c r="B26">
        <v>0</v>
      </c>
      <c r="C26" t="s">
        <v>124</v>
      </c>
    </row>
    <row r="27" spans="1:20">
      <c r="A27" s="1" t="s">
        <v>541</v>
      </c>
      <c r="B27">
        <v>0</v>
      </c>
      <c r="C27" t="s">
        <v>124</v>
      </c>
    </row>
    <row r="28" spans="1:20">
      <c r="A28" s="1" t="s">
        <v>542</v>
      </c>
      <c r="B28">
        <v>0</v>
      </c>
      <c r="C28" t="s">
        <v>124</v>
      </c>
    </row>
    <row r="29" spans="1:20">
      <c r="A29" s="1" t="s">
        <v>539</v>
      </c>
      <c r="B29" s="12">
        <f>E10</f>
        <v>811000</v>
      </c>
      <c r="C29" t="s">
        <v>124</v>
      </c>
    </row>
    <row r="30" spans="1:20">
      <c r="A30" s="1" t="s">
        <v>543</v>
      </c>
      <c r="B30">
        <v>0</v>
      </c>
      <c r="C30" t="s">
        <v>124</v>
      </c>
    </row>
    <row r="31" spans="1:20">
      <c r="A31" s="1" t="s">
        <v>544</v>
      </c>
      <c r="B31" s="12">
        <f>E16</f>
        <v>5180.3438797679828</v>
      </c>
      <c r="C31" t="s">
        <v>124</v>
      </c>
    </row>
    <row r="32" spans="1:20">
      <c r="A32" s="1" t="s">
        <v>545</v>
      </c>
      <c r="B32">
        <v>0</v>
      </c>
      <c r="C32" t="s">
        <v>124</v>
      </c>
    </row>
    <row r="33" spans="1:3">
      <c r="A33" s="1" t="s">
        <v>546</v>
      </c>
      <c r="B33" s="12">
        <f>E17</f>
        <v>21589.735320500666</v>
      </c>
      <c r="C33" t="s">
        <v>124</v>
      </c>
    </row>
    <row r="34" spans="1:3">
      <c r="A34" s="1" t="s">
        <v>547</v>
      </c>
      <c r="B34" s="12">
        <f>E18</f>
        <v>2063.9980763435865</v>
      </c>
      <c r="C34" t="s">
        <v>124</v>
      </c>
    </row>
    <row r="35" spans="1:3">
      <c r="A35" s="1" t="s">
        <v>548</v>
      </c>
      <c r="B35" s="12">
        <f>E15</f>
        <v>11566.701629674757</v>
      </c>
      <c r="C35" t="s">
        <v>124</v>
      </c>
    </row>
    <row r="36" spans="1:3">
      <c r="A36" s="1" t="s">
        <v>449</v>
      </c>
      <c r="B36" s="12">
        <f>E24</f>
        <v>1158571.4285714286</v>
      </c>
      <c r="C36" t="s">
        <v>124</v>
      </c>
    </row>
    <row r="37" spans="1:3">
      <c r="A37" s="1" t="s">
        <v>214</v>
      </c>
      <c r="B37" s="12">
        <f>E14</f>
        <v>133907.20000000001</v>
      </c>
      <c r="C37" t="s">
        <v>124</v>
      </c>
    </row>
    <row r="39" spans="1:3">
      <c r="A39" s="1" t="s">
        <v>766</v>
      </c>
      <c r="B39" t="s">
        <v>695</v>
      </c>
      <c r="C39" t="s">
        <v>142</v>
      </c>
    </row>
    <row r="40" spans="1:3">
      <c r="A40" s="1" t="s">
        <v>184</v>
      </c>
      <c r="B40">
        <v>1.85</v>
      </c>
      <c r="C40" t="s">
        <v>696</v>
      </c>
    </row>
    <row r="41" spans="1:3">
      <c r="A41" s="1" t="s">
        <v>242</v>
      </c>
      <c r="B41">
        <v>1.89</v>
      </c>
      <c r="C41" t="s">
        <v>696</v>
      </c>
    </row>
  </sheetData>
  <phoneticPr fontId="2" type="noConversion"/>
  <hyperlinks>
    <hyperlink ref="H13" r:id="rId1" location="2022%20Calc%20Prod" xr:uid="{6EA5F70C-5C91-D847-9313-0FF423108EB4}"/>
    <hyperlink ref="H10" r:id="rId2" location=":~:text=Capacity%20utilization%20in%20the%20Chinese,actual%20production%20of%20811%2C000%20tonnes." xr:uid="{AD1B3C7F-AD29-134A-927A-D397A551366F}"/>
    <hyperlink ref="H12" r:id="rId3" xr:uid="{C489A8DE-FFD2-B14A-9B3C-5390166A0264}"/>
    <hyperlink ref="H20" r:id="rId4" xr:uid="{0E8635C5-3EDA-DB4B-9729-0D305E935ABD}"/>
    <hyperlink ref="H21" r:id="rId5" xr:uid="{A908F82C-0264-5B40-BC70-C6EAAA124034}"/>
    <hyperlink ref="H22" r:id="rId6" xr:uid="{AB67B719-61B2-5E4C-B8A6-8BCAA50A7EEC}"/>
  </hyperlinks>
  <pageMargins left="0.7" right="0.7" top="0.78740157499999996" bottom="0.78740157499999996" header="0.3" footer="0.3"/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BF6E-0F93-5145-9244-20114DAE8DC6}">
  <dimension ref="A1:Z101"/>
  <sheetViews>
    <sheetView topLeftCell="I24" workbookViewId="0">
      <selection activeCell="V44" sqref="V44"/>
    </sheetView>
  </sheetViews>
  <sheetFormatPr baseColWidth="10" defaultRowHeight="16"/>
  <cols>
    <col min="1" max="1" width="17.1640625" bestFit="1" customWidth="1"/>
    <col min="3" max="3" width="19.6640625" bestFit="1" customWidth="1"/>
    <col min="4" max="4" width="20.6640625" bestFit="1" customWidth="1"/>
    <col min="7" max="7" width="24.1640625" bestFit="1" customWidth="1"/>
    <col min="9" max="9" width="14.5" bestFit="1" customWidth="1"/>
    <col min="11" max="11" width="18.6640625" customWidth="1"/>
    <col min="12" max="12" width="11.5" bestFit="1" customWidth="1"/>
    <col min="15" max="15" width="15.6640625" bestFit="1" customWidth="1"/>
    <col min="17" max="17" width="13.6640625" customWidth="1"/>
    <col min="18" max="18" width="27.33203125" customWidth="1"/>
  </cols>
  <sheetData>
    <row r="1" spans="1:22">
      <c r="A1" s="1" t="s">
        <v>106</v>
      </c>
      <c r="B1" s="1" t="s">
        <v>1</v>
      </c>
      <c r="C1" s="1" t="s">
        <v>122</v>
      </c>
      <c r="D1" s="1" t="s">
        <v>123</v>
      </c>
      <c r="E1" s="1" t="s">
        <v>3</v>
      </c>
      <c r="F1" s="1" t="s">
        <v>129</v>
      </c>
    </row>
    <row r="2" spans="1:22">
      <c r="A2" t="s">
        <v>107</v>
      </c>
      <c r="B2" t="s">
        <v>549</v>
      </c>
      <c r="C2" s="12">
        <v>96</v>
      </c>
      <c r="D2" s="12">
        <v>20000</v>
      </c>
      <c r="E2" t="s">
        <v>138</v>
      </c>
      <c r="F2" t="s">
        <v>550</v>
      </c>
      <c r="I2" s="1" t="s">
        <v>126</v>
      </c>
      <c r="J2" t="s">
        <v>122</v>
      </c>
      <c r="K2" t="s">
        <v>450</v>
      </c>
      <c r="L2" t="s">
        <v>141</v>
      </c>
      <c r="M2" t="s">
        <v>129</v>
      </c>
      <c r="N2" t="s">
        <v>1</v>
      </c>
      <c r="O2" t="s">
        <v>451</v>
      </c>
      <c r="R2" t="s">
        <v>522</v>
      </c>
      <c r="T2">
        <v>17</v>
      </c>
      <c r="U2" t="s">
        <v>102</v>
      </c>
      <c r="V2" t="s">
        <v>521</v>
      </c>
    </row>
    <row r="3" spans="1:22">
      <c r="A3" t="s">
        <v>105</v>
      </c>
      <c r="B3">
        <v>2022</v>
      </c>
      <c r="C3" s="12">
        <v>100000</v>
      </c>
      <c r="D3" s="12">
        <v>5100000</v>
      </c>
      <c r="E3" t="s">
        <v>138</v>
      </c>
      <c r="F3" t="s">
        <v>131</v>
      </c>
      <c r="I3" t="s">
        <v>107</v>
      </c>
      <c r="J3" s="12">
        <v>96</v>
      </c>
      <c r="K3" s="12">
        <v>20000</v>
      </c>
      <c r="L3" t="s">
        <v>138</v>
      </c>
      <c r="M3" t="s">
        <v>131</v>
      </c>
      <c r="N3">
        <v>2022</v>
      </c>
      <c r="R3" s="14" t="s">
        <v>524</v>
      </c>
      <c r="S3">
        <f>AVERAGE(360,450)*2/3</f>
        <v>270</v>
      </c>
      <c r="T3" t="s">
        <v>523</v>
      </c>
      <c r="U3" t="s">
        <v>528</v>
      </c>
    </row>
    <row r="4" spans="1:22">
      <c r="A4" t="s">
        <v>108</v>
      </c>
      <c r="B4">
        <v>2022</v>
      </c>
      <c r="C4" s="12">
        <v>33000</v>
      </c>
      <c r="D4" s="12">
        <v>2700000</v>
      </c>
      <c r="E4" t="s">
        <v>138</v>
      </c>
      <c r="F4" t="s">
        <v>131</v>
      </c>
      <c r="I4" t="s">
        <v>132</v>
      </c>
      <c r="J4" s="12">
        <v>100000</v>
      </c>
      <c r="K4" s="12">
        <v>5100000</v>
      </c>
      <c r="L4" t="s">
        <v>138</v>
      </c>
      <c r="M4" t="s">
        <v>131</v>
      </c>
      <c r="N4">
        <v>2022</v>
      </c>
      <c r="R4" s="14" t="s">
        <v>525</v>
      </c>
      <c r="S4">
        <f>AVERAGE(360,450)*1/3</f>
        <v>135</v>
      </c>
      <c r="T4" t="s">
        <v>523</v>
      </c>
      <c r="U4" t="s">
        <v>529</v>
      </c>
    </row>
    <row r="5" spans="1:22">
      <c r="A5" t="s">
        <v>109</v>
      </c>
      <c r="B5">
        <v>2022</v>
      </c>
      <c r="C5" s="12"/>
      <c r="D5" s="12"/>
      <c r="E5" t="s">
        <v>138</v>
      </c>
      <c r="F5" t="s">
        <v>131</v>
      </c>
      <c r="I5" t="s">
        <v>19</v>
      </c>
      <c r="J5" s="12">
        <v>33000</v>
      </c>
      <c r="K5" s="12">
        <v>2700000</v>
      </c>
      <c r="L5" t="s">
        <v>138</v>
      </c>
      <c r="M5" t="s">
        <v>131</v>
      </c>
      <c r="N5">
        <v>2022</v>
      </c>
      <c r="R5" s="14" t="s">
        <v>530</v>
      </c>
      <c r="S5" t="s">
        <v>531</v>
      </c>
      <c r="T5" t="s">
        <v>523</v>
      </c>
      <c r="U5" t="s">
        <v>532</v>
      </c>
    </row>
    <row r="6" spans="1:22">
      <c r="A6" t="s">
        <v>5</v>
      </c>
      <c r="B6">
        <v>2022</v>
      </c>
      <c r="C6" s="12">
        <v>90000</v>
      </c>
      <c r="D6" s="12">
        <v>710000</v>
      </c>
      <c r="E6" t="s">
        <v>138</v>
      </c>
      <c r="F6" t="s">
        <v>131</v>
      </c>
      <c r="I6" t="s">
        <v>330</v>
      </c>
      <c r="J6" s="12">
        <v>90000</v>
      </c>
      <c r="K6" s="12">
        <v>710000</v>
      </c>
      <c r="L6" t="s">
        <v>138</v>
      </c>
    </row>
    <row r="7" spans="1:22">
      <c r="A7" t="s">
        <v>110</v>
      </c>
      <c r="B7">
        <v>2022</v>
      </c>
      <c r="C7" s="12"/>
      <c r="D7" s="12"/>
      <c r="E7" t="s">
        <v>138</v>
      </c>
      <c r="F7" t="s">
        <v>131</v>
      </c>
      <c r="I7" t="s">
        <v>110</v>
      </c>
      <c r="J7" s="12">
        <v>0</v>
      </c>
      <c r="K7" s="12">
        <v>0</v>
      </c>
      <c r="L7" t="s">
        <v>138</v>
      </c>
    </row>
    <row r="8" spans="1:22">
      <c r="A8" t="s">
        <v>111</v>
      </c>
      <c r="B8">
        <v>2022</v>
      </c>
      <c r="C8" s="12">
        <v>86000</v>
      </c>
      <c r="D8" s="12">
        <v>7400000</v>
      </c>
      <c r="E8" t="s">
        <v>138</v>
      </c>
      <c r="F8" t="s">
        <v>131</v>
      </c>
      <c r="I8" t="s">
        <v>368</v>
      </c>
      <c r="J8" s="12">
        <v>0</v>
      </c>
      <c r="K8" s="12">
        <v>0</v>
      </c>
      <c r="L8" t="s">
        <v>138</v>
      </c>
    </row>
    <row r="9" spans="1:22">
      <c r="A9" t="s">
        <v>112</v>
      </c>
      <c r="B9">
        <v>2022</v>
      </c>
      <c r="C9" s="12">
        <v>17000</v>
      </c>
      <c r="D9" s="12">
        <v>660000</v>
      </c>
      <c r="E9" t="s">
        <v>138</v>
      </c>
      <c r="F9" t="s">
        <v>131</v>
      </c>
      <c r="I9" t="s">
        <v>198</v>
      </c>
      <c r="J9" s="12">
        <v>0</v>
      </c>
      <c r="K9" s="12">
        <v>0</v>
      </c>
      <c r="L9" t="s">
        <v>138</v>
      </c>
    </row>
    <row r="10" spans="1:22">
      <c r="A10" t="s">
        <v>113</v>
      </c>
      <c r="B10">
        <v>2022</v>
      </c>
      <c r="C10" s="12">
        <v>21000</v>
      </c>
      <c r="D10" s="12">
        <v>1000000</v>
      </c>
      <c r="E10" t="s">
        <v>138</v>
      </c>
      <c r="F10" t="s">
        <v>131</v>
      </c>
      <c r="I10" t="s">
        <v>366</v>
      </c>
      <c r="J10" s="12">
        <v>0</v>
      </c>
      <c r="K10" s="12">
        <v>0</v>
      </c>
      <c r="L10" t="s">
        <v>138</v>
      </c>
    </row>
    <row r="11" spans="1:22">
      <c r="A11" t="s">
        <v>114</v>
      </c>
      <c r="B11">
        <v>2022</v>
      </c>
      <c r="C11" s="12"/>
      <c r="D11" s="12"/>
      <c r="E11" t="s">
        <v>138</v>
      </c>
      <c r="F11" t="s">
        <v>131</v>
      </c>
      <c r="I11" t="s">
        <v>303</v>
      </c>
      <c r="J11" s="12">
        <v>0</v>
      </c>
      <c r="K11" s="12">
        <v>0</v>
      </c>
      <c r="L11" t="s">
        <v>138</v>
      </c>
    </row>
    <row r="12" spans="1:22">
      <c r="A12" t="s">
        <v>115</v>
      </c>
      <c r="B12">
        <v>2022</v>
      </c>
      <c r="C12" s="12">
        <v>3900</v>
      </c>
      <c r="D12" s="12">
        <v>2000000</v>
      </c>
      <c r="E12" t="s">
        <v>138</v>
      </c>
      <c r="F12" t="s">
        <v>131</v>
      </c>
      <c r="I12" t="s">
        <v>423</v>
      </c>
      <c r="J12" s="12">
        <v>0</v>
      </c>
      <c r="K12" s="12">
        <v>0</v>
      </c>
      <c r="L12" t="s">
        <v>138</v>
      </c>
    </row>
    <row r="13" spans="1:22">
      <c r="A13" t="s">
        <v>116</v>
      </c>
      <c r="B13">
        <v>2022</v>
      </c>
      <c r="C13" s="12">
        <v>4400</v>
      </c>
      <c r="D13" s="12">
        <v>160000</v>
      </c>
      <c r="E13" t="s">
        <v>138</v>
      </c>
      <c r="F13" t="s">
        <v>131</v>
      </c>
      <c r="I13" t="s">
        <v>495</v>
      </c>
      <c r="J13" s="12">
        <f>C21-SUM(J7:J10)</f>
        <v>13283</v>
      </c>
      <c r="K13" s="12">
        <f>D21-SUM(K7:K10)</f>
        <v>250000</v>
      </c>
      <c r="L13" t="s">
        <v>138</v>
      </c>
    </row>
    <row r="14" spans="1:22">
      <c r="A14" t="s">
        <v>117</v>
      </c>
      <c r="B14">
        <v>2022</v>
      </c>
      <c r="C14" s="12">
        <v>5000</v>
      </c>
      <c r="D14" s="12">
        <v>500000</v>
      </c>
      <c r="E14" t="s">
        <v>138</v>
      </c>
      <c r="F14" t="s">
        <v>131</v>
      </c>
      <c r="I14" t="s">
        <v>449</v>
      </c>
      <c r="J14" s="12">
        <f>C20-SUM(J3:J13)</f>
        <v>143621</v>
      </c>
      <c r="K14" s="12">
        <f>D20-SUM(K3:K13)</f>
        <v>22220000</v>
      </c>
      <c r="L14" t="s">
        <v>138</v>
      </c>
      <c r="O14">
        <v>4.9000000000000004</v>
      </c>
      <c r="P14" t="s">
        <v>493</v>
      </c>
    </row>
    <row r="15" spans="1:22">
      <c r="A15" t="s">
        <v>118</v>
      </c>
      <c r="B15">
        <v>2022</v>
      </c>
      <c r="C15" s="12">
        <v>4800</v>
      </c>
      <c r="D15" s="12">
        <v>180000</v>
      </c>
      <c r="E15" t="s">
        <v>138</v>
      </c>
      <c r="F15" t="s">
        <v>131</v>
      </c>
    </row>
    <row r="16" spans="1:22">
      <c r="A16" t="s">
        <v>119</v>
      </c>
      <c r="B16">
        <v>2022</v>
      </c>
      <c r="C16" s="12"/>
      <c r="D16" s="12"/>
      <c r="E16" t="s">
        <v>138</v>
      </c>
      <c r="F16" t="s">
        <v>131</v>
      </c>
      <c r="I16" s="1" t="s">
        <v>551</v>
      </c>
    </row>
    <row r="17" spans="1:24">
      <c r="A17" t="s">
        <v>120</v>
      </c>
      <c r="B17">
        <v>2022</v>
      </c>
      <c r="C17" s="12"/>
      <c r="D17" s="12"/>
      <c r="E17" t="s">
        <v>138</v>
      </c>
      <c r="F17" t="s">
        <v>131</v>
      </c>
      <c r="I17" t="s">
        <v>552</v>
      </c>
      <c r="J17">
        <v>0.5</v>
      </c>
      <c r="K17" t="s">
        <v>553</v>
      </c>
    </row>
    <row r="18" spans="1:24">
      <c r="A18" t="s">
        <v>121</v>
      </c>
      <c r="B18">
        <v>2022</v>
      </c>
      <c r="C18" s="12">
        <v>3800</v>
      </c>
      <c r="D18" s="12">
        <v>5800000</v>
      </c>
      <c r="E18" t="s">
        <v>138</v>
      </c>
      <c r="F18" t="s">
        <v>131</v>
      </c>
      <c r="I18" s="1" t="s">
        <v>554</v>
      </c>
      <c r="J18">
        <v>0.1</v>
      </c>
      <c r="K18" t="s">
        <v>555</v>
      </c>
      <c r="L18" t="s">
        <v>556</v>
      </c>
    </row>
    <row r="19" spans="1:24">
      <c r="A19" t="s">
        <v>160</v>
      </c>
      <c r="B19">
        <v>2022</v>
      </c>
      <c r="C19" s="12">
        <v>8900</v>
      </c>
      <c r="D19" s="12">
        <v>5100000</v>
      </c>
      <c r="E19" t="s">
        <v>138</v>
      </c>
      <c r="F19" t="s">
        <v>131</v>
      </c>
      <c r="I19" s="1" t="s">
        <v>616</v>
      </c>
      <c r="J19">
        <v>47</v>
      </c>
      <c r="K19" t="s">
        <v>617</v>
      </c>
      <c r="L19" t="s">
        <v>618</v>
      </c>
    </row>
    <row r="20" spans="1:24">
      <c r="A20" t="s">
        <v>426</v>
      </c>
      <c r="B20">
        <v>2022</v>
      </c>
      <c r="C20" s="12">
        <v>380000</v>
      </c>
      <c r="D20" s="12">
        <v>31000000</v>
      </c>
      <c r="E20" t="s">
        <v>138</v>
      </c>
      <c r="F20" t="s">
        <v>131</v>
      </c>
      <c r="I20" t="s">
        <v>559</v>
      </c>
    </row>
    <row r="21" spans="1:24">
      <c r="A21" t="s">
        <v>437</v>
      </c>
      <c r="B21">
        <v>2019</v>
      </c>
      <c r="C21" s="12">
        <v>13283</v>
      </c>
      <c r="D21" s="12">
        <v>250000</v>
      </c>
      <c r="E21" t="s">
        <v>138</v>
      </c>
      <c r="F21" t="s">
        <v>619</v>
      </c>
    </row>
    <row r="22" spans="1:24">
      <c r="C22" s="12"/>
      <c r="D22" s="12"/>
    </row>
    <row r="23" spans="1:24">
      <c r="A23" s="1" t="s">
        <v>37</v>
      </c>
      <c r="B23" s="1" t="s">
        <v>1</v>
      </c>
      <c r="C23" s="1" t="s">
        <v>122</v>
      </c>
      <c r="D23" s="1" t="s">
        <v>123</v>
      </c>
      <c r="E23" s="1" t="s">
        <v>3</v>
      </c>
      <c r="F23" s="1" t="s">
        <v>129</v>
      </c>
      <c r="G23" s="1" t="s">
        <v>151</v>
      </c>
      <c r="I23" s="1" t="s">
        <v>452</v>
      </c>
      <c r="J23" t="s">
        <v>122</v>
      </c>
      <c r="K23" t="s">
        <v>450</v>
      </c>
      <c r="L23" t="s">
        <v>141</v>
      </c>
      <c r="M23" t="s">
        <v>129</v>
      </c>
      <c r="N23" t="s">
        <v>1</v>
      </c>
      <c r="O23" t="s">
        <v>451</v>
      </c>
      <c r="P23" t="s">
        <v>141</v>
      </c>
      <c r="Q23" t="s">
        <v>129</v>
      </c>
      <c r="R23" t="s">
        <v>463</v>
      </c>
      <c r="T23" t="s">
        <v>210</v>
      </c>
      <c r="U23" t="s">
        <v>908</v>
      </c>
      <c r="V23" t="s">
        <v>907</v>
      </c>
      <c r="W23" t="s">
        <v>906</v>
      </c>
    </row>
    <row r="24" spans="1:24">
      <c r="A24" s="14" t="s">
        <v>107</v>
      </c>
      <c r="B24">
        <v>2022</v>
      </c>
      <c r="C24" s="14">
        <v>1300</v>
      </c>
      <c r="D24" s="14">
        <v>44000</v>
      </c>
      <c r="E24" t="s">
        <v>138</v>
      </c>
      <c r="F24" t="s">
        <v>131</v>
      </c>
      <c r="G24" t="s">
        <v>152</v>
      </c>
      <c r="I24" t="s">
        <v>132</v>
      </c>
      <c r="J24" s="14">
        <v>830</v>
      </c>
      <c r="K24" s="14">
        <v>97000</v>
      </c>
      <c r="L24" t="s">
        <v>138</v>
      </c>
      <c r="M24" t="s">
        <v>496</v>
      </c>
      <c r="N24">
        <v>2022</v>
      </c>
      <c r="O24">
        <v>1.34</v>
      </c>
      <c r="Q24" t="s">
        <v>686</v>
      </c>
      <c r="U24" s="26">
        <v>0.3</v>
      </c>
      <c r="V24" s="26">
        <v>0.33</v>
      </c>
      <c r="W24" s="48">
        <f>$J$37*V24*'Allocation OPEX CAPEX'!L10 +'Allocation OPEX CAPEX'!L25*mining!U24*$J$37+(1-SUM(mining!U24:V24))*mining!$J$37</f>
        <v>3.4978989932824689</v>
      </c>
      <c r="X24">
        <f>W24/8760</f>
        <v>3.9930353804594395E-4</v>
      </c>
    </row>
    <row r="25" spans="1:24">
      <c r="A25" s="14" t="s">
        <v>132</v>
      </c>
      <c r="B25">
        <v>2022</v>
      </c>
      <c r="C25" s="14">
        <v>830</v>
      </c>
      <c r="D25" s="14">
        <v>97000</v>
      </c>
      <c r="E25" t="s">
        <v>138</v>
      </c>
      <c r="F25" t="s">
        <v>131</v>
      </c>
      <c r="G25" t="s">
        <v>152</v>
      </c>
      <c r="I25" t="s">
        <v>368</v>
      </c>
      <c r="J25" s="12">
        <v>0</v>
      </c>
      <c r="K25" s="12">
        <v>0</v>
      </c>
      <c r="L25" t="s">
        <v>138</v>
      </c>
      <c r="M25" t="s">
        <v>496</v>
      </c>
      <c r="N25">
        <v>2022</v>
      </c>
      <c r="O25">
        <v>1.2</v>
      </c>
      <c r="P25" t="s">
        <v>453</v>
      </c>
      <c r="U25" s="26">
        <v>0.3</v>
      </c>
      <c r="V25" s="26">
        <f>$V$33</f>
        <v>0.29750000000000004</v>
      </c>
      <c r="W25" s="48">
        <f>$J$37*V25*'Allocation OPEX CAPEX'!L11 +'Allocation OPEX CAPEX'!L26*mining!U25*$J$37+(1-SUM(mining!U25:V25))*mining!$J$37</f>
        <v>3.8124722089341323</v>
      </c>
      <c r="X25">
        <f t="shared" ref="X25:X34" si="0">W25/8760</f>
        <v>4.3521372248106531E-4</v>
      </c>
    </row>
    <row r="26" spans="1:24">
      <c r="A26" s="14" t="s">
        <v>109</v>
      </c>
      <c r="B26">
        <v>2022</v>
      </c>
      <c r="C26" s="14">
        <v>530</v>
      </c>
      <c r="D26" s="14">
        <v>7600</v>
      </c>
      <c r="E26" t="s">
        <v>138</v>
      </c>
      <c r="F26" t="s">
        <v>131</v>
      </c>
      <c r="G26" t="s">
        <v>152</v>
      </c>
      <c r="I26" t="s">
        <v>19</v>
      </c>
      <c r="J26" s="14">
        <v>381</v>
      </c>
      <c r="K26" s="14">
        <v>0</v>
      </c>
      <c r="L26" t="s">
        <v>138</v>
      </c>
      <c r="M26" t="s">
        <v>496</v>
      </c>
      <c r="N26">
        <v>2022</v>
      </c>
      <c r="O26">
        <v>1.2</v>
      </c>
      <c r="P26" t="s">
        <v>453</v>
      </c>
      <c r="R26">
        <v>13500</v>
      </c>
      <c r="S26" t="s">
        <v>474</v>
      </c>
      <c r="U26" s="26">
        <v>0.3</v>
      </c>
      <c r="V26" s="26">
        <v>0.27</v>
      </c>
      <c r="W26" s="48">
        <f>$J$37*V26*'Allocation OPEX CAPEX'!L12 +'Allocation OPEX CAPEX'!L27*mining!U26*$J$37+(1-SUM(mining!U26:V26))*mining!$J$37</f>
        <v>2.0983852814979596</v>
      </c>
      <c r="X26">
        <f t="shared" si="0"/>
        <v>2.3954169880113693E-4</v>
      </c>
    </row>
    <row r="27" spans="1:24" ht="18">
      <c r="A27" s="14" t="s">
        <v>144</v>
      </c>
      <c r="B27">
        <v>2022</v>
      </c>
      <c r="C27" s="14">
        <v>5200</v>
      </c>
      <c r="D27" s="14">
        <v>190000</v>
      </c>
      <c r="E27" t="s">
        <v>138</v>
      </c>
      <c r="F27" t="s">
        <v>131</v>
      </c>
      <c r="G27" t="s">
        <v>152</v>
      </c>
      <c r="I27" t="s">
        <v>330</v>
      </c>
      <c r="J27" s="14">
        <v>1900</v>
      </c>
      <c r="K27" s="14">
        <v>27000</v>
      </c>
      <c r="L27" t="s">
        <v>138</v>
      </c>
      <c r="M27" t="s">
        <v>496</v>
      </c>
      <c r="N27">
        <v>2022</v>
      </c>
      <c r="O27" s="45">
        <v>2.12</v>
      </c>
      <c r="P27" t="s">
        <v>453</v>
      </c>
      <c r="Q27" t="s">
        <v>462</v>
      </c>
      <c r="U27" s="26">
        <v>0.3</v>
      </c>
      <c r="V27" s="26">
        <v>0.32</v>
      </c>
      <c r="W27" s="48">
        <f>$J$37*V27*'Allocation OPEX CAPEX'!L13 +'Allocation OPEX CAPEX'!L28*mining!U27*$J$37+(1-SUM(mining!U27:V27))*mining!$J$37</f>
        <v>1.9095704518612031</v>
      </c>
      <c r="X27">
        <f t="shared" si="0"/>
        <v>2.1798749450470354E-4</v>
      </c>
    </row>
    <row r="28" spans="1:24">
      <c r="A28" s="14" t="s">
        <v>5</v>
      </c>
      <c r="B28">
        <v>2022</v>
      </c>
      <c r="C28" s="14">
        <v>1900</v>
      </c>
      <c r="D28" s="14">
        <v>27000</v>
      </c>
      <c r="E28" t="s">
        <v>138</v>
      </c>
      <c r="F28" t="s">
        <v>131</v>
      </c>
      <c r="G28" t="s">
        <v>152</v>
      </c>
      <c r="I28" t="s">
        <v>366</v>
      </c>
      <c r="J28" s="12">
        <v>0</v>
      </c>
      <c r="K28" s="14">
        <v>0</v>
      </c>
      <c r="L28" t="s">
        <v>138</v>
      </c>
      <c r="M28" t="s">
        <v>496</v>
      </c>
      <c r="N28">
        <v>2022</v>
      </c>
      <c r="O28">
        <v>1.2</v>
      </c>
      <c r="P28" t="s">
        <v>453</v>
      </c>
      <c r="R28">
        <v>12500</v>
      </c>
      <c r="S28" t="s">
        <v>464</v>
      </c>
      <c r="T28" t="s">
        <v>465</v>
      </c>
      <c r="U28" s="26">
        <v>0.3</v>
      </c>
      <c r="V28" s="26">
        <f>$V$33</f>
        <v>0.29750000000000004</v>
      </c>
      <c r="W28" s="48">
        <f>$J$37*V28*'Allocation OPEX CAPEX'!L14 +'Allocation OPEX CAPEX'!L29*mining!U28*$J$37+(1-SUM(mining!U28:V28))*mining!$J$37</f>
        <v>2.8562019960234468</v>
      </c>
      <c r="X28">
        <f t="shared" si="0"/>
        <v>3.2605045616706016E-4</v>
      </c>
    </row>
    <row r="29" spans="1:24">
      <c r="A29" s="14" t="s">
        <v>145</v>
      </c>
      <c r="B29">
        <v>2022</v>
      </c>
      <c r="C29" s="14">
        <v>2200</v>
      </c>
      <c r="D29" s="14">
        <v>31000</v>
      </c>
      <c r="E29" t="s">
        <v>138</v>
      </c>
      <c r="F29" t="s">
        <v>131</v>
      </c>
      <c r="G29" t="s">
        <v>152</v>
      </c>
      <c r="I29" t="s">
        <v>110</v>
      </c>
      <c r="J29" s="63">
        <v>0.06</v>
      </c>
      <c r="K29" s="14">
        <v>0</v>
      </c>
      <c r="L29" t="s">
        <v>138</v>
      </c>
      <c r="M29" t="s">
        <v>496</v>
      </c>
      <c r="N29">
        <v>2022</v>
      </c>
      <c r="O29">
        <v>1.2</v>
      </c>
      <c r="P29" t="s">
        <v>453</v>
      </c>
      <c r="R29">
        <v>12500</v>
      </c>
      <c r="S29" t="s">
        <v>464</v>
      </c>
      <c r="T29" t="s">
        <v>465</v>
      </c>
      <c r="U29" s="26">
        <v>0.3</v>
      </c>
      <c r="V29" s="26">
        <f t="shared" ref="V29:V32" si="1">$V$33</f>
        <v>0.29750000000000004</v>
      </c>
      <c r="W29" s="48">
        <f>$J$37*V29*'Allocation OPEX CAPEX'!L15 +'Allocation OPEX CAPEX'!L30*mining!U29*$J$37+(1-SUM(mining!U29:V29))*mining!$J$37</f>
        <v>3.950496628364272</v>
      </c>
      <c r="X29">
        <f t="shared" si="0"/>
        <v>4.5096993474477991E-4</v>
      </c>
    </row>
    <row r="30" spans="1:24">
      <c r="A30" s="14" t="s">
        <v>110</v>
      </c>
      <c r="B30">
        <v>2022</v>
      </c>
      <c r="C30" s="14">
        <v>0</v>
      </c>
      <c r="D30" s="14">
        <v>0</v>
      </c>
      <c r="E30" t="s">
        <v>138</v>
      </c>
      <c r="F30" t="s">
        <v>131</v>
      </c>
      <c r="G30" t="s">
        <v>152</v>
      </c>
      <c r="I30" t="s">
        <v>198</v>
      </c>
      <c r="J30" s="12">
        <v>0</v>
      </c>
      <c r="K30" s="14">
        <v>0</v>
      </c>
      <c r="L30" t="s">
        <v>138</v>
      </c>
      <c r="M30" t="s">
        <v>496</v>
      </c>
      <c r="N30">
        <v>2022</v>
      </c>
      <c r="O30">
        <v>1.2</v>
      </c>
      <c r="P30" t="s">
        <v>453</v>
      </c>
      <c r="R30">
        <v>12500</v>
      </c>
      <c r="S30" t="s">
        <v>464</v>
      </c>
      <c r="T30" t="s">
        <v>465</v>
      </c>
      <c r="U30" s="26">
        <v>0.3</v>
      </c>
      <c r="V30" s="26">
        <f t="shared" si="1"/>
        <v>0.29750000000000004</v>
      </c>
      <c r="W30" s="48">
        <f>$J$37*V30*'Allocation OPEX CAPEX'!L16 +'Allocation OPEX CAPEX'!L31*mining!U30*$J$37+(1-SUM(mining!U30:V30))*mining!$J$37</f>
        <v>3.9235769670150908</v>
      </c>
      <c r="X30">
        <f t="shared" si="0"/>
        <v>4.4789691404281858E-4</v>
      </c>
    </row>
    <row r="31" spans="1:24">
      <c r="A31" s="14" t="s">
        <v>113</v>
      </c>
      <c r="B31">
        <v>2022</v>
      </c>
      <c r="C31" s="14">
        <v>920</v>
      </c>
      <c r="D31" s="14">
        <v>24000</v>
      </c>
      <c r="E31" t="s">
        <v>138</v>
      </c>
      <c r="F31" t="s">
        <v>131</v>
      </c>
      <c r="G31" t="s">
        <v>152</v>
      </c>
      <c r="I31" t="s">
        <v>303</v>
      </c>
      <c r="J31" s="14">
        <v>0</v>
      </c>
      <c r="K31" s="14">
        <v>0</v>
      </c>
      <c r="L31" t="s">
        <v>138</v>
      </c>
      <c r="M31" t="s">
        <v>496</v>
      </c>
      <c r="N31">
        <v>2022</v>
      </c>
      <c r="O31">
        <v>2.5</v>
      </c>
      <c r="P31" t="s">
        <v>453</v>
      </c>
      <c r="Q31" s="38" t="s">
        <v>454</v>
      </c>
      <c r="R31">
        <v>12500</v>
      </c>
      <c r="S31" t="s">
        <v>464</v>
      </c>
      <c r="T31" t="s">
        <v>465</v>
      </c>
      <c r="U31" s="26">
        <v>0.3</v>
      </c>
      <c r="V31" s="26">
        <f t="shared" si="1"/>
        <v>0.29750000000000004</v>
      </c>
      <c r="W31" s="48">
        <f>$J$37*V31*'Allocation OPEX CAPEX'!L17 +'Allocation OPEX CAPEX'!L32*mining!U31*$J$37+(1-SUM(mining!U31:V31))*mining!$J$37</f>
        <v>2.887163310736991</v>
      </c>
      <c r="X31">
        <f t="shared" si="0"/>
        <v>3.2958485282385744E-4</v>
      </c>
    </row>
    <row r="32" spans="1:24">
      <c r="A32" s="14" t="s">
        <v>11</v>
      </c>
      <c r="B32">
        <v>2022</v>
      </c>
      <c r="C32" s="14">
        <v>0</v>
      </c>
      <c r="D32" s="14">
        <v>0</v>
      </c>
      <c r="E32" t="s">
        <v>138</v>
      </c>
      <c r="F32" t="s">
        <v>131</v>
      </c>
      <c r="G32" t="s">
        <v>152</v>
      </c>
      <c r="I32" t="s">
        <v>703</v>
      </c>
      <c r="J32" s="14">
        <v>0</v>
      </c>
      <c r="K32" s="14">
        <v>0</v>
      </c>
      <c r="L32" t="s">
        <v>138</v>
      </c>
      <c r="M32" t="s">
        <v>496</v>
      </c>
      <c r="N32">
        <v>2022</v>
      </c>
      <c r="O32">
        <v>1.2</v>
      </c>
      <c r="P32" t="s">
        <v>453</v>
      </c>
      <c r="S32" t="s">
        <v>464</v>
      </c>
      <c r="U32" s="26">
        <v>0.3</v>
      </c>
      <c r="V32" s="26">
        <f t="shared" si="1"/>
        <v>0.29750000000000004</v>
      </c>
      <c r="W32" s="48">
        <f>$J$37*V32*'Allocation OPEX CAPEX'!L18 +'Allocation OPEX CAPEX'!L33*mining!U32*$J$37+(1-SUM(mining!U32:V32))*mining!$J$37</f>
        <v>2.4529122533683241</v>
      </c>
      <c r="X32">
        <f t="shared" si="0"/>
        <v>2.8001281431145253E-4</v>
      </c>
    </row>
    <row r="33" spans="1:24">
      <c r="A33" s="14" t="s">
        <v>134</v>
      </c>
      <c r="B33">
        <v>2022</v>
      </c>
      <c r="C33" s="14">
        <v>580</v>
      </c>
      <c r="D33" s="14">
        <v>20000</v>
      </c>
      <c r="E33" t="s">
        <v>138</v>
      </c>
      <c r="F33" t="s">
        <v>131</v>
      </c>
      <c r="G33" t="s">
        <v>152</v>
      </c>
      <c r="I33" t="s">
        <v>448</v>
      </c>
      <c r="J33" s="14">
        <v>3431</v>
      </c>
      <c r="K33" s="12">
        <v>27590</v>
      </c>
      <c r="L33" t="s">
        <v>138</v>
      </c>
      <c r="M33" t="s">
        <v>496</v>
      </c>
      <c r="N33">
        <v>2022</v>
      </c>
      <c r="O33">
        <v>1.2</v>
      </c>
      <c r="P33" t="s">
        <v>453</v>
      </c>
      <c r="S33" t="s">
        <v>464</v>
      </c>
      <c r="U33" s="26">
        <v>0.3</v>
      </c>
      <c r="V33" s="26">
        <f>AVERAGE(V27,V26,V24,V34)</f>
        <v>0.29750000000000004</v>
      </c>
      <c r="W33" s="48">
        <f>$J$37*V33*'Allocation OPEX CAPEX'!L19 +'Allocation OPEX CAPEX'!L34*mining!U33*$J$37+(1-SUM(mining!U33:V33))*mining!$J$37</f>
        <v>3.0567927509077171</v>
      </c>
      <c r="X33">
        <f t="shared" si="0"/>
        <v>3.4894894416754761E-4</v>
      </c>
    </row>
    <row r="34" spans="1:24">
      <c r="A34" s="14" t="s">
        <v>146</v>
      </c>
      <c r="B34">
        <v>2022</v>
      </c>
      <c r="C34" s="14">
        <v>0</v>
      </c>
      <c r="D34" s="14">
        <v>0</v>
      </c>
      <c r="E34" t="s">
        <v>138</v>
      </c>
      <c r="F34" t="s">
        <v>131</v>
      </c>
      <c r="G34" t="s">
        <v>152</v>
      </c>
      <c r="I34" t="s">
        <v>449</v>
      </c>
      <c r="J34" s="12">
        <f>C41-SUM(J24:J33,J35)</f>
        <v>14157.94</v>
      </c>
      <c r="K34" s="12">
        <f>D41-SUM(K24:K33,K35)</f>
        <v>694410</v>
      </c>
      <c r="L34" t="s">
        <v>138</v>
      </c>
      <c r="M34" t="s">
        <v>496</v>
      </c>
      <c r="N34">
        <v>2022</v>
      </c>
      <c r="O34">
        <v>1.2</v>
      </c>
      <c r="P34" t="s">
        <v>453</v>
      </c>
      <c r="R34">
        <v>12500</v>
      </c>
      <c r="S34" t="s">
        <v>464</v>
      </c>
      <c r="T34" t="s">
        <v>465</v>
      </c>
      <c r="U34" s="26">
        <v>0.3</v>
      </c>
      <c r="V34" s="26">
        <v>0.27</v>
      </c>
      <c r="W34" s="48">
        <f>$J$37*V34*'Allocation OPEX CAPEX'!L20 +'Allocation OPEX CAPEX'!L35*mining!U34*$J$37+(1-SUM(mining!U34:V34))*mining!$J$37</f>
        <v>3.0529774127310061</v>
      </c>
      <c r="X34">
        <f t="shared" si="0"/>
        <v>3.4851340327979519E-4</v>
      </c>
    </row>
    <row r="35" spans="1:24">
      <c r="A35" s="14" t="s">
        <v>147</v>
      </c>
      <c r="B35">
        <v>2022</v>
      </c>
      <c r="C35" s="14">
        <v>740</v>
      </c>
      <c r="D35" s="14">
        <v>53000</v>
      </c>
      <c r="E35" t="s">
        <v>138</v>
      </c>
      <c r="F35" t="s">
        <v>131</v>
      </c>
      <c r="G35" t="s">
        <v>152</v>
      </c>
      <c r="I35" t="s">
        <v>107</v>
      </c>
      <c r="J35" s="14">
        <v>1300</v>
      </c>
      <c r="K35" s="14">
        <v>44000</v>
      </c>
      <c r="L35" t="s">
        <v>138</v>
      </c>
      <c r="M35" t="s">
        <v>496</v>
      </c>
      <c r="N35">
        <v>2022</v>
      </c>
      <c r="O35">
        <v>1.2</v>
      </c>
      <c r="P35" t="s">
        <v>453</v>
      </c>
      <c r="Q35" t="s">
        <v>686</v>
      </c>
    </row>
    <row r="36" spans="1:24">
      <c r="A36" s="14" t="s">
        <v>148</v>
      </c>
      <c r="B36">
        <v>2022</v>
      </c>
      <c r="C36" s="14">
        <v>2200</v>
      </c>
      <c r="D36" s="14">
        <v>81000</v>
      </c>
      <c r="E36" t="s">
        <v>138</v>
      </c>
      <c r="F36" t="s">
        <v>131</v>
      </c>
      <c r="G36" t="s">
        <v>152</v>
      </c>
    </row>
    <row r="37" spans="1:24">
      <c r="A37" s="14" t="s">
        <v>149</v>
      </c>
      <c r="B37">
        <v>2022</v>
      </c>
      <c r="C37" s="14">
        <v>390</v>
      </c>
      <c r="D37" s="14">
        <v>30000</v>
      </c>
      <c r="E37" t="s">
        <v>138</v>
      </c>
      <c r="F37" t="s">
        <v>131</v>
      </c>
      <c r="G37" t="s">
        <v>152</v>
      </c>
      <c r="I37" s="1" t="s">
        <v>665</v>
      </c>
      <c r="J37">
        <f>(2.12-0.35)/0.487*0.84</f>
        <v>3.0529774127310061</v>
      </c>
      <c r="K37" t="s">
        <v>705</v>
      </c>
      <c r="L37" s="38" t="s">
        <v>905</v>
      </c>
    </row>
    <row r="38" spans="1:24">
      <c r="A38" s="14" t="s">
        <v>117</v>
      </c>
      <c r="B38">
        <v>2022</v>
      </c>
      <c r="C38" s="14">
        <v>1000</v>
      </c>
      <c r="D38" s="14">
        <v>62000</v>
      </c>
      <c r="E38" t="s">
        <v>138</v>
      </c>
      <c r="F38" t="s">
        <v>131</v>
      </c>
      <c r="G38" t="s">
        <v>152</v>
      </c>
    </row>
    <row r="39" spans="1:24" ht="17" customHeight="1">
      <c r="A39" s="14" t="s">
        <v>150</v>
      </c>
      <c r="B39">
        <v>2022</v>
      </c>
      <c r="C39" s="14">
        <v>770</v>
      </c>
      <c r="D39" s="14">
        <v>19000</v>
      </c>
      <c r="E39" t="s">
        <v>138</v>
      </c>
      <c r="F39" t="s">
        <v>131</v>
      </c>
      <c r="G39" t="s">
        <v>152</v>
      </c>
    </row>
    <row r="40" spans="1:24">
      <c r="A40" t="s">
        <v>160</v>
      </c>
      <c r="B40">
        <v>2022</v>
      </c>
      <c r="C40" s="14">
        <v>3400</v>
      </c>
      <c r="D40" s="14">
        <v>200000</v>
      </c>
      <c r="E40" t="s">
        <v>138</v>
      </c>
      <c r="F40" t="s">
        <v>131</v>
      </c>
      <c r="G40" t="s">
        <v>152</v>
      </c>
    </row>
    <row r="41" spans="1:24">
      <c r="A41" t="s">
        <v>426</v>
      </c>
      <c r="B41">
        <v>2022</v>
      </c>
      <c r="C41" s="14">
        <v>22000</v>
      </c>
      <c r="D41" s="14">
        <v>890000</v>
      </c>
      <c r="E41" t="s">
        <v>138</v>
      </c>
      <c r="F41" t="s">
        <v>131</v>
      </c>
      <c r="G41" t="s">
        <v>152</v>
      </c>
    </row>
    <row r="42" spans="1:24" ht="17" customHeight="1">
      <c r="A42" s="14" t="s">
        <v>439</v>
      </c>
      <c r="B42">
        <v>2019</v>
      </c>
      <c r="C42" s="14">
        <v>3431</v>
      </c>
      <c r="D42" s="14">
        <f>0.031*D41</f>
        <v>27590</v>
      </c>
      <c r="E42" t="s">
        <v>138</v>
      </c>
      <c r="F42" t="s">
        <v>441</v>
      </c>
      <c r="G42" t="s">
        <v>709</v>
      </c>
    </row>
    <row r="43" spans="1:24" ht="17" customHeight="1">
      <c r="A43" s="14" t="s">
        <v>447</v>
      </c>
      <c r="B43">
        <v>2021</v>
      </c>
      <c r="C43" s="14">
        <v>381</v>
      </c>
      <c r="D43" s="14"/>
      <c r="E43" t="s">
        <v>138</v>
      </c>
      <c r="F43" t="s">
        <v>429</v>
      </c>
    </row>
    <row r="44" spans="1:24">
      <c r="A44" s="1" t="s">
        <v>157</v>
      </c>
      <c r="B44" s="1" t="s">
        <v>1</v>
      </c>
      <c r="C44" s="1" t="s">
        <v>122</v>
      </c>
      <c r="D44" s="1" t="s">
        <v>123</v>
      </c>
      <c r="E44" s="1" t="s">
        <v>3</v>
      </c>
      <c r="F44" s="1" t="s">
        <v>129</v>
      </c>
      <c r="G44" s="1" t="s">
        <v>151</v>
      </c>
      <c r="J44" s="1"/>
      <c r="K44" t="s">
        <v>122</v>
      </c>
      <c r="L44" t="s">
        <v>450</v>
      </c>
      <c r="M44" t="s">
        <v>141</v>
      </c>
      <c r="N44" t="s">
        <v>129</v>
      </c>
      <c r="O44" t="s">
        <v>1</v>
      </c>
      <c r="P44" t="s">
        <v>451</v>
      </c>
      <c r="Q44" t="s">
        <v>141</v>
      </c>
      <c r="U44" t="s">
        <v>908</v>
      </c>
      <c r="V44" t="s">
        <v>907</v>
      </c>
      <c r="W44" t="s">
        <v>906</v>
      </c>
    </row>
    <row r="45" spans="1:24">
      <c r="A45" s="14" t="s">
        <v>107</v>
      </c>
      <c r="B45">
        <v>2022</v>
      </c>
      <c r="C45" s="14">
        <v>18000</v>
      </c>
      <c r="D45" s="14">
        <v>370000</v>
      </c>
      <c r="E45" t="s">
        <v>124</v>
      </c>
      <c r="F45" t="s">
        <v>131</v>
      </c>
      <c r="G45" s="14" t="s">
        <v>162</v>
      </c>
      <c r="J45" t="s">
        <v>132</v>
      </c>
      <c r="K45" s="14">
        <v>160000</v>
      </c>
      <c r="L45" s="14">
        <v>21000000</v>
      </c>
      <c r="M45" t="s">
        <v>124</v>
      </c>
      <c r="N45" t="s">
        <v>496</v>
      </c>
      <c r="R45" t="s">
        <v>540</v>
      </c>
      <c r="U45" s="26">
        <v>0.3</v>
      </c>
      <c r="V45" s="26">
        <v>0.33</v>
      </c>
      <c r="W45" s="48">
        <f>$K$59*(U45*'Allocation OPEX CAPEX'!L25+'Allocation OPEX CAPEX'!L10*mining!V45 + (1-mining!U45-mining!V45))</f>
        <v>9.5856661157607252</v>
      </c>
      <c r="X45">
        <f>W45/8760</f>
        <v>1.0942541228037357E-3</v>
      </c>
    </row>
    <row r="46" spans="1:24">
      <c r="A46" s="14" t="s">
        <v>132</v>
      </c>
      <c r="B46">
        <v>2022</v>
      </c>
      <c r="C46" s="14">
        <v>160000</v>
      </c>
      <c r="D46" s="14">
        <v>21000000</v>
      </c>
      <c r="E46" t="s">
        <v>124</v>
      </c>
      <c r="F46" t="s">
        <v>131</v>
      </c>
      <c r="G46" s="14" t="s">
        <v>162</v>
      </c>
      <c r="J46" t="s">
        <v>368</v>
      </c>
      <c r="K46" s="12">
        <v>700</v>
      </c>
      <c r="L46" s="12">
        <v>0</v>
      </c>
      <c r="M46" t="s">
        <v>124</v>
      </c>
      <c r="N46" t="s">
        <v>702</v>
      </c>
      <c r="R46" t="s">
        <v>541</v>
      </c>
      <c r="U46" s="26">
        <v>0.3</v>
      </c>
      <c r="V46" s="26">
        <f>$V$33</f>
        <v>0.29750000000000004</v>
      </c>
      <c r="W46" s="48">
        <f>$K$59*(U46*'Allocation OPEX CAPEX'!L26+'Allocation OPEX CAPEX'!L11*mining!V46 + (1-mining!U46-mining!V46))</f>
        <v>10.447724688632309</v>
      </c>
      <c r="X46">
        <f t="shared" ref="X46:X56" si="2">W46/8760</f>
        <v>1.1926626356886197E-3</v>
      </c>
    </row>
    <row r="47" spans="1:24">
      <c r="A47" s="14" t="s">
        <v>19</v>
      </c>
      <c r="B47">
        <v>2022</v>
      </c>
      <c r="C47" s="14">
        <v>83000</v>
      </c>
      <c r="D47" s="14">
        <v>16000000</v>
      </c>
      <c r="E47" t="s">
        <v>124</v>
      </c>
      <c r="F47" t="s">
        <v>131</v>
      </c>
      <c r="G47" s="14" t="s">
        <v>162</v>
      </c>
      <c r="J47" t="s">
        <v>19</v>
      </c>
      <c r="K47" s="14">
        <v>83000</v>
      </c>
      <c r="L47" s="14">
        <v>16000000</v>
      </c>
      <c r="M47" t="s">
        <v>124</v>
      </c>
      <c r="N47" t="s">
        <v>496</v>
      </c>
      <c r="R47" t="s">
        <v>542</v>
      </c>
      <c r="U47" s="26">
        <v>0.3</v>
      </c>
      <c r="V47" s="26">
        <v>0.27</v>
      </c>
      <c r="W47" s="48">
        <f>$K$59*(U47*'Allocation OPEX CAPEX'!L27+'Allocation OPEX CAPEX'!L12*mining!V47 + (1-mining!U47-mining!V47))</f>
        <v>5.7504292517579003</v>
      </c>
      <c r="X47">
        <f t="shared" si="2"/>
        <v>6.5644169540615303E-4</v>
      </c>
    </row>
    <row r="48" spans="1:24">
      <c r="A48" s="14" t="s">
        <v>109</v>
      </c>
      <c r="B48">
        <v>2022</v>
      </c>
      <c r="C48" s="14">
        <v>130000</v>
      </c>
      <c r="D48" s="14">
        <v>2200000</v>
      </c>
      <c r="E48" t="s">
        <v>124</v>
      </c>
      <c r="F48" t="s">
        <v>131</v>
      </c>
      <c r="G48" s="14" t="s">
        <v>162</v>
      </c>
      <c r="J48" t="s">
        <v>330</v>
      </c>
      <c r="K48" s="14">
        <v>110000</v>
      </c>
      <c r="L48" s="14">
        <v>2100000</v>
      </c>
      <c r="M48" t="s">
        <v>124</v>
      </c>
      <c r="N48" t="s">
        <v>496</v>
      </c>
      <c r="P48">
        <v>8.3000000000000007</v>
      </c>
      <c r="Q48" t="s">
        <v>494</v>
      </c>
      <c r="R48" t="s">
        <v>539</v>
      </c>
      <c r="S48">
        <v>9.3000000000000007</v>
      </c>
      <c r="T48" t="s">
        <v>687</v>
      </c>
      <c r="U48" s="26">
        <v>0.3</v>
      </c>
      <c r="V48" s="26">
        <v>0.32</v>
      </c>
      <c r="W48" s="48">
        <f>$K$59*(U48*'Allocation OPEX CAPEX'!L28+'Allocation OPEX CAPEX'!L13*mining!V48 + (1-mining!U48-mining!V48))</f>
        <v>5.2329998125207924</v>
      </c>
      <c r="X48">
        <f t="shared" si="2"/>
        <v>5.9737440782200828E-4</v>
      </c>
    </row>
    <row r="49" spans="1:26">
      <c r="A49" s="14" t="s">
        <v>5</v>
      </c>
      <c r="B49">
        <v>2022</v>
      </c>
      <c r="C49" s="14">
        <v>110000</v>
      </c>
      <c r="D49" s="14">
        <v>2100000</v>
      </c>
      <c r="E49" t="s">
        <v>124</v>
      </c>
      <c r="F49" t="s">
        <v>131</v>
      </c>
      <c r="G49" s="14" t="s">
        <v>162</v>
      </c>
      <c r="J49" t="s">
        <v>366</v>
      </c>
      <c r="K49" s="12">
        <v>0</v>
      </c>
      <c r="L49" s="12">
        <v>0</v>
      </c>
      <c r="M49" t="s">
        <v>124</v>
      </c>
      <c r="N49" t="s">
        <v>496</v>
      </c>
      <c r="R49" t="s">
        <v>543</v>
      </c>
      <c r="U49" s="26">
        <v>0.3</v>
      </c>
      <c r="V49" s="26">
        <f>$V$33</f>
        <v>0.29750000000000004</v>
      </c>
      <c r="W49" s="48">
        <f>$K$59*(U49*'Allocation OPEX CAPEX'!L29+'Allocation OPEX CAPEX'!L14*mining!V49 + (1-mining!U49-mining!V49))</f>
        <v>7.8271553139839831</v>
      </c>
      <c r="X49">
        <f t="shared" si="2"/>
        <v>8.9351088059177889E-4</v>
      </c>
    </row>
    <row r="50" spans="1:26">
      <c r="A50" s="14" t="s">
        <v>113</v>
      </c>
      <c r="B50">
        <v>2022</v>
      </c>
      <c r="C50" s="14">
        <v>1600000</v>
      </c>
      <c r="D50" s="14">
        <v>21000000</v>
      </c>
      <c r="E50" t="s">
        <v>124</v>
      </c>
      <c r="F50" t="s">
        <v>131</v>
      </c>
      <c r="G50" s="14" t="s">
        <v>162</v>
      </c>
      <c r="J50" t="s">
        <v>110</v>
      </c>
      <c r="K50" s="12">
        <v>0</v>
      </c>
      <c r="L50" s="12">
        <v>0</v>
      </c>
      <c r="M50" t="s">
        <v>124</v>
      </c>
      <c r="N50" t="s">
        <v>496</v>
      </c>
      <c r="R50" t="s">
        <v>544</v>
      </c>
      <c r="U50" s="26">
        <v>0.3</v>
      </c>
      <c r="V50" s="26">
        <f t="shared" ref="V50:V53" si="3">$V$33</f>
        <v>0.29750000000000004</v>
      </c>
      <c r="W50" s="48">
        <f>$K$59*(U50*'Allocation OPEX CAPEX'!L30+'Allocation OPEX CAPEX'!L15*mining!V50 + (1-mining!U50-mining!V50))</f>
        <v>10.82596774339744</v>
      </c>
      <c r="X50">
        <f t="shared" si="2"/>
        <v>1.2358410665978812E-3</v>
      </c>
    </row>
    <row r="51" spans="1:26">
      <c r="A51" s="14" t="s">
        <v>158</v>
      </c>
      <c r="B51">
        <v>2022</v>
      </c>
      <c r="C51" s="14">
        <v>190000</v>
      </c>
      <c r="D51" s="14">
        <v>7100000</v>
      </c>
      <c r="E51" t="s">
        <v>124</v>
      </c>
      <c r="F51" t="s">
        <v>131</v>
      </c>
      <c r="G51" s="14" t="s">
        <v>162</v>
      </c>
      <c r="J51" t="s">
        <v>198</v>
      </c>
      <c r="K51" s="12">
        <v>0</v>
      </c>
      <c r="L51" s="12">
        <v>0</v>
      </c>
      <c r="M51" t="s">
        <v>124</v>
      </c>
      <c r="N51" t="s">
        <v>496</v>
      </c>
      <c r="R51" t="s">
        <v>545</v>
      </c>
      <c r="U51" s="26">
        <v>0.3</v>
      </c>
      <c r="V51" s="26">
        <f t="shared" si="3"/>
        <v>0.29750000000000004</v>
      </c>
      <c r="W51" s="48">
        <f>$K$59*(U51*'Allocation OPEX CAPEX'!L31+'Allocation OPEX CAPEX'!L16*mining!V51 + (1-mining!U51-mining!V51))</f>
        <v>10.752196920929965</v>
      </c>
      <c r="X51">
        <f t="shared" si="2"/>
        <v>1.2274197398321877E-3</v>
      </c>
    </row>
    <row r="52" spans="1:26">
      <c r="A52" s="14" t="s">
        <v>159</v>
      </c>
      <c r="B52">
        <v>2022</v>
      </c>
      <c r="C52" s="14">
        <v>330000</v>
      </c>
      <c r="D52" s="14">
        <v>4800000</v>
      </c>
      <c r="E52" t="s">
        <v>124</v>
      </c>
      <c r="F52" t="s">
        <v>131</v>
      </c>
      <c r="G52" s="14" t="s">
        <v>162</v>
      </c>
      <c r="J52" t="s">
        <v>303</v>
      </c>
      <c r="K52" s="14">
        <v>56000</v>
      </c>
      <c r="L52" s="12">
        <v>0</v>
      </c>
      <c r="M52" t="s">
        <v>124</v>
      </c>
      <c r="N52" t="s">
        <v>496</v>
      </c>
      <c r="R52" t="s">
        <v>546</v>
      </c>
      <c r="U52" s="26">
        <v>0.3</v>
      </c>
      <c r="V52" s="26">
        <f t="shared" si="3"/>
        <v>0.29750000000000004</v>
      </c>
      <c r="W52" s="48">
        <f>$K$59*(U52*'Allocation OPEX CAPEX'!L32+'Allocation OPEX CAPEX'!L17*mining!V52 + (1-mining!U52-mining!V52))</f>
        <v>7.9120019107321973</v>
      </c>
      <c r="X52">
        <f t="shared" si="2"/>
        <v>9.0319656515207736E-4</v>
      </c>
    </row>
    <row r="53" spans="1:26">
      <c r="A53" s="14" t="s">
        <v>117</v>
      </c>
      <c r="B53">
        <v>2022</v>
      </c>
      <c r="C53" s="14">
        <v>220000</v>
      </c>
      <c r="D53" s="14">
        <v>7500000</v>
      </c>
      <c r="E53" t="s">
        <v>124</v>
      </c>
      <c r="F53" t="s">
        <v>131</v>
      </c>
      <c r="G53" s="14" t="s">
        <v>162</v>
      </c>
      <c r="J53" t="s">
        <v>703</v>
      </c>
      <c r="K53" s="12">
        <v>0</v>
      </c>
      <c r="L53" s="12">
        <v>0</v>
      </c>
      <c r="M53" t="s">
        <v>124</v>
      </c>
      <c r="N53" t="s">
        <v>496</v>
      </c>
      <c r="R53" t="s">
        <v>547</v>
      </c>
      <c r="U53" s="26">
        <v>0.3</v>
      </c>
      <c r="V53" s="26">
        <f t="shared" si="3"/>
        <v>0.29750000000000004</v>
      </c>
      <c r="W53" s="48">
        <f>$K$59*(U53*'Allocation OPEX CAPEX'!L33+'Allocation OPEX CAPEX'!L18*mining!V53 + (1-mining!U53-mining!V53))</f>
        <v>6.7219773690441365</v>
      </c>
      <c r="X53">
        <f t="shared" si="2"/>
        <v>7.6734901473106583E-4</v>
      </c>
    </row>
    <row r="54" spans="1:26">
      <c r="A54" s="14" t="s">
        <v>438</v>
      </c>
      <c r="B54">
        <v>2019</v>
      </c>
      <c r="C54" s="14">
        <v>355000</v>
      </c>
      <c r="D54" s="14"/>
      <c r="F54" t="s">
        <v>428</v>
      </c>
      <c r="G54" s="14" t="s">
        <v>701</v>
      </c>
      <c r="J54" t="s">
        <v>448</v>
      </c>
      <c r="K54" s="14">
        <v>355000</v>
      </c>
      <c r="L54" s="12">
        <f>0.055*D56</f>
        <v>5500000</v>
      </c>
      <c r="M54" t="s">
        <v>124</v>
      </c>
      <c r="N54" t="s">
        <v>496</v>
      </c>
      <c r="R54" t="s">
        <v>548</v>
      </c>
      <c r="U54" s="26">
        <v>0.3</v>
      </c>
      <c r="V54" s="26">
        <f>AVERAGE(V48,V47,V45,V55)</f>
        <v>0.29750000000000004</v>
      </c>
      <c r="W54" s="48">
        <f>$K$59*(U54*'Allocation OPEX CAPEX'!L34+'Allocation OPEX CAPEX'!L19*mining!V54 + (1-mining!U54-mining!V54))</f>
        <v>8.3768555786061594</v>
      </c>
      <c r="X54">
        <f t="shared" si="2"/>
        <v>9.5626205235230125E-4</v>
      </c>
    </row>
    <row r="55" spans="1:26">
      <c r="A55" s="14" t="s">
        <v>160</v>
      </c>
      <c r="B55">
        <v>2022</v>
      </c>
      <c r="C55" s="14">
        <v>440000</v>
      </c>
      <c r="D55" s="14">
        <v>20000000</v>
      </c>
      <c r="E55" t="s">
        <v>124</v>
      </c>
      <c r="F55" t="s">
        <v>131</v>
      </c>
      <c r="G55" s="14" t="s">
        <v>162</v>
      </c>
      <c r="J55" t="s">
        <v>449</v>
      </c>
      <c r="K55" s="12">
        <f>C56-SUM((K45:K54,K56))</f>
        <v>2517300</v>
      </c>
      <c r="L55" s="12">
        <f>D56-SUM(L45:L54,L56)</f>
        <v>55030000</v>
      </c>
      <c r="M55" t="s">
        <v>124</v>
      </c>
      <c r="N55" t="s">
        <v>496</v>
      </c>
      <c r="R55" t="s">
        <v>449</v>
      </c>
      <c r="S55">
        <v>8.41</v>
      </c>
      <c r="T55" t="s">
        <v>687</v>
      </c>
      <c r="U55" s="26">
        <v>0.3</v>
      </c>
      <c r="V55" s="26">
        <v>0.27</v>
      </c>
      <c r="W55" s="48">
        <f>$K$59*(U55*'Allocation OPEX CAPEX'!L35+'Allocation OPEX CAPEX'!L20*mining!V55 + (1-mining!U55-mining!V55))</f>
        <v>8.3664000000000005</v>
      </c>
      <c r="X55">
        <f t="shared" si="2"/>
        <v>9.55068493150685E-4</v>
      </c>
    </row>
    <row r="56" spans="1:26" ht="17" customHeight="1">
      <c r="A56" s="14" t="s">
        <v>161</v>
      </c>
      <c r="B56">
        <v>2022</v>
      </c>
      <c r="C56" s="14">
        <v>3300000</v>
      </c>
      <c r="D56" s="61">
        <v>100000000</v>
      </c>
      <c r="E56" t="s">
        <v>124</v>
      </c>
      <c r="F56" t="s">
        <v>131</v>
      </c>
      <c r="G56" s="14" t="s">
        <v>162</v>
      </c>
      <c r="J56" t="s">
        <v>107</v>
      </c>
      <c r="K56" s="14">
        <v>18000</v>
      </c>
      <c r="L56" s="14">
        <v>370000</v>
      </c>
      <c r="M56" t="s">
        <v>124</v>
      </c>
      <c r="N56" t="s">
        <v>496</v>
      </c>
      <c r="P56">
        <v>13</v>
      </c>
      <c r="Q56" t="s">
        <v>492</v>
      </c>
      <c r="R56" t="s">
        <v>214</v>
      </c>
      <c r="T56" t="s">
        <v>492</v>
      </c>
      <c r="U56" s="26">
        <v>0.3</v>
      </c>
      <c r="V56" s="26">
        <v>0.27</v>
      </c>
      <c r="W56" s="48">
        <f>$K$59*(U56*'Allocation OPEX CAPEX'!L36+'Allocation OPEX CAPEX'!L21*mining!V56 + (1-mining!U56-mining!V56))</f>
        <v>8.6655280341574326</v>
      </c>
      <c r="X56">
        <f t="shared" si="2"/>
        <v>9.8921552901340545E-4</v>
      </c>
    </row>
    <row r="57" spans="1:26">
      <c r="A57" s="14" t="s">
        <v>11</v>
      </c>
      <c r="B57">
        <v>2021</v>
      </c>
      <c r="C57" s="14">
        <v>56000</v>
      </c>
      <c r="E57">
        <v>7</v>
      </c>
      <c r="F57" t="s">
        <v>429</v>
      </c>
    </row>
    <row r="58" spans="1:26">
      <c r="J58" s="1" t="s">
        <v>704</v>
      </c>
      <c r="K58" s="48">
        <f>15.92*0.84</f>
        <v>13.3728</v>
      </c>
      <c r="L58" t="s">
        <v>705</v>
      </c>
      <c r="M58" t="s">
        <v>708</v>
      </c>
    </row>
    <row r="59" spans="1:26">
      <c r="J59" t="s">
        <v>665</v>
      </c>
      <c r="K59" s="48">
        <f>0.84*9.96</f>
        <v>8.3664000000000005</v>
      </c>
      <c r="L59" t="s">
        <v>910</v>
      </c>
      <c r="M59" s="38" t="s">
        <v>920</v>
      </c>
    </row>
    <row r="62" spans="1:26">
      <c r="A62" s="15" t="s">
        <v>163</v>
      </c>
      <c r="B62" s="16" t="s">
        <v>176</v>
      </c>
      <c r="C62" s="16" t="s">
        <v>171</v>
      </c>
      <c r="D62" s="16" t="s">
        <v>170</v>
      </c>
      <c r="E62" s="16" t="s">
        <v>172</v>
      </c>
      <c r="F62" s="16" t="s">
        <v>173</v>
      </c>
      <c r="G62" s="15" t="s">
        <v>174</v>
      </c>
      <c r="H62" s="16" t="s">
        <v>26</v>
      </c>
      <c r="I62" s="16" t="s">
        <v>129</v>
      </c>
      <c r="J62" s="1" t="s">
        <v>461</v>
      </c>
      <c r="K62" t="s">
        <v>122</v>
      </c>
      <c r="L62" t="s">
        <v>450</v>
      </c>
      <c r="M62" t="s">
        <v>141</v>
      </c>
      <c r="N62" t="s">
        <v>129</v>
      </c>
      <c r="O62" t="s">
        <v>1</v>
      </c>
      <c r="P62" t="s">
        <v>451</v>
      </c>
      <c r="Q62" t="s">
        <v>141</v>
      </c>
      <c r="R62" s="1" t="s">
        <v>740</v>
      </c>
      <c r="U62" t="s">
        <v>922</v>
      </c>
      <c r="W62" t="s">
        <v>923</v>
      </c>
      <c r="X62" t="s">
        <v>907</v>
      </c>
      <c r="Y62" t="s">
        <v>906</v>
      </c>
    </row>
    <row r="63" spans="1:26">
      <c r="A63" s="14" t="s">
        <v>107</v>
      </c>
      <c r="B63">
        <v>2022</v>
      </c>
      <c r="C63" s="14">
        <v>46000</v>
      </c>
      <c r="E63" t="s">
        <v>138</v>
      </c>
      <c r="F63" s="14">
        <v>3000</v>
      </c>
      <c r="G63" s="14">
        <v>1000</v>
      </c>
      <c r="H63" t="s">
        <v>175</v>
      </c>
      <c r="I63" t="s">
        <v>131</v>
      </c>
      <c r="J63" t="s">
        <v>132</v>
      </c>
      <c r="K63" s="12">
        <v>880</v>
      </c>
      <c r="L63" s="14">
        <f>F64</f>
        <v>51000</v>
      </c>
      <c r="M63" s="1" t="s">
        <v>175</v>
      </c>
      <c r="N63" t="s">
        <v>496</v>
      </c>
      <c r="R63">
        <f>D63/C63</f>
        <v>0</v>
      </c>
      <c r="U63" s="49">
        <v>10.88</v>
      </c>
      <c r="W63" s="26">
        <v>0.16500000000000001</v>
      </c>
      <c r="X63" s="26">
        <v>0.33</v>
      </c>
      <c r="Y63" s="48">
        <f>$U$70*(W63*'Allocation OPEX CAPEX'!L25+'Allocation OPEX CAPEX'!L10*mining!X63 + (1-mining!W63-mining!X63))</f>
        <v>35.170888158572083</v>
      </c>
      <c r="Z63">
        <f>Y63/8760</f>
        <v>4.0149415706132513E-3</v>
      </c>
    </row>
    <row r="64" spans="1:26">
      <c r="A64" s="14" t="s">
        <v>132</v>
      </c>
      <c r="B64">
        <v>2022</v>
      </c>
      <c r="C64" s="14">
        <v>880000</v>
      </c>
      <c r="D64" s="14">
        <v>540000</v>
      </c>
      <c r="E64" t="s">
        <v>138</v>
      </c>
      <c r="F64" s="14">
        <v>51000</v>
      </c>
      <c r="G64" s="14">
        <v>27000</v>
      </c>
      <c r="H64" t="s">
        <v>175</v>
      </c>
      <c r="I64" t="s">
        <v>131</v>
      </c>
      <c r="J64" t="s">
        <v>368</v>
      </c>
      <c r="K64" s="12">
        <v>3.3109999999999999</v>
      </c>
      <c r="L64" s="14">
        <f>F79</f>
        <v>35</v>
      </c>
      <c r="M64" s="1" t="s">
        <v>175</v>
      </c>
      <c r="N64" t="s">
        <v>496</v>
      </c>
      <c r="R64">
        <f t="shared" ref="R64:R82" si="4">D64/C64</f>
        <v>0.61363636363636365</v>
      </c>
      <c r="U64" s="49">
        <v>59.17</v>
      </c>
      <c r="W64" s="26">
        <v>0.16500000000000001</v>
      </c>
      <c r="X64" s="26">
        <f>$V$33</f>
        <v>0.29750000000000004</v>
      </c>
      <c r="Y64" s="48">
        <f>$U$70*(W64*'Allocation OPEX CAPEX'!L26+'Allocation OPEX CAPEX'!L11*mining!X64 + (1-mining!W64-mining!X64))</f>
        <v>36.949534005265399</v>
      </c>
      <c r="Z64">
        <f t="shared" ref="Z64:Z74" si="5">Y64/8760</f>
        <v>4.217983333934406E-3</v>
      </c>
    </row>
    <row r="65" spans="1:26">
      <c r="A65" s="14" t="s">
        <v>19</v>
      </c>
      <c r="B65">
        <v>2022</v>
      </c>
      <c r="C65" s="14">
        <v>410000</v>
      </c>
      <c r="D65" s="14">
        <v>260000</v>
      </c>
      <c r="E65" t="s">
        <v>138</v>
      </c>
      <c r="F65" s="14">
        <v>34000</v>
      </c>
      <c r="G65" s="14">
        <v>15000</v>
      </c>
      <c r="H65" t="s">
        <v>175</v>
      </c>
      <c r="I65" t="s">
        <v>131</v>
      </c>
      <c r="J65" t="s">
        <v>19</v>
      </c>
      <c r="K65" s="12">
        <v>410</v>
      </c>
      <c r="L65" s="14">
        <f>F65</f>
        <v>34000</v>
      </c>
      <c r="M65" s="1" t="s">
        <v>175</v>
      </c>
      <c r="N65" t="s">
        <v>496</v>
      </c>
      <c r="R65">
        <f t="shared" si="4"/>
        <v>0.63414634146341464</v>
      </c>
      <c r="U65" s="49">
        <v>49.85</v>
      </c>
      <c r="W65" s="26">
        <v>0.16500000000000001</v>
      </c>
      <c r="X65" s="26">
        <v>0.27</v>
      </c>
      <c r="Y65" s="48">
        <f>$U$70*(W65*'Allocation OPEX CAPEX'!L27+'Allocation OPEX CAPEX'!L12*mining!X65 + (1-mining!W65-mining!X65))</f>
        <v>22.926232445110852</v>
      </c>
      <c r="Z65">
        <f t="shared" si="5"/>
        <v>2.6171498225012386E-3</v>
      </c>
    </row>
    <row r="66" spans="1:26">
      <c r="A66" s="14" t="s">
        <v>109</v>
      </c>
      <c r="B66">
        <v>2022</v>
      </c>
      <c r="C66" s="14">
        <v>58000</v>
      </c>
      <c r="D66" s="14">
        <v>35000</v>
      </c>
      <c r="E66" t="s">
        <v>138</v>
      </c>
      <c r="F66" s="14">
        <v>6000</v>
      </c>
      <c r="G66" s="14">
        <v>2300</v>
      </c>
      <c r="H66" t="s">
        <v>175</v>
      </c>
      <c r="I66" t="s">
        <v>131</v>
      </c>
      <c r="J66" t="s">
        <v>330</v>
      </c>
      <c r="K66" s="12">
        <v>380</v>
      </c>
      <c r="L66" s="14">
        <f>F68</f>
        <v>20000</v>
      </c>
      <c r="M66" s="1" t="s">
        <v>175</v>
      </c>
      <c r="N66" t="s">
        <v>496</v>
      </c>
      <c r="R66">
        <f t="shared" si="4"/>
        <v>0.60344827586206895</v>
      </c>
      <c r="U66" s="49">
        <v>31.87</v>
      </c>
      <c r="W66" s="26">
        <v>0.16500000000000001</v>
      </c>
      <c r="X66" s="26">
        <v>0.32</v>
      </c>
      <c r="Y66" s="48">
        <f>$U$70*(W66*'Allocation OPEX CAPEX'!L28+'Allocation OPEX CAPEX'!L13*mining!X66 + (1-mining!W66-mining!X66))</f>
        <v>22.242916577751934</v>
      </c>
      <c r="Z66">
        <f t="shared" si="5"/>
        <v>2.5391457280538737E-3</v>
      </c>
    </row>
    <row r="67" spans="1:26">
      <c r="A67" s="14" t="s">
        <v>144</v>
      </c>
      <c r="B67">
        <v>2022</v>
      </c>
      <c r="C67" s="14">
        <v>16000</v>
      </c>
      <c r="D67" s="14">
        <v>10000</v>
      </c>
      <c r="E67" t="s">
        <v>138</v>
      </c>
      <c r="F67" s="14" t="s">
        <v>169</v>
      </c>
      <c r="G67" s="14" t="s">
        <v>169</v>
      </c>
      <c r="H67" t="s">
        <v>175</v>
      </c>
      <c r="I67" t="s">
        <v>131</v>
      </c>
      <c r="J67" t="s">
        <v>366</v>
      </c>
      <c r="K67" s="62">
        <v>0</v>
      </c>
      <c r="L67" s="12">
        <f>D86</f>
        <v>0</v>
      </c>
      <c r="M67" s="1" t="s">
        <v>175</v>
      </c>
      <c r="N67" t="s">
        <v>496</v>
      </c>
      <c r="R67">
        <f t="shared" si="4"/>
        <v>0.625</v>
      </c>
      <c r="U67" s="49">
        <v>17.54</v>
      </c>
      <c r="W67" s="26">
        <v>0.16500000000000001</v>
      </c>
      <c r="X67" s="26">
        <f>$V$33</f>
        <v>0.29750000000000004</v>
      </c>
      <c r="Y67" s="48">
        <f>$U$70*(W67*'Allocation OPEX CAPEX'!L29+'Allocation OPEX CAPEX'!L14*mining!X67 + (1-mining!W67-mining!X67))</f>
        <v>27.285147576903807</v>
      </c>
      <c r="Z67">
        <f t="shared" si="5"/>
        <v>3.1147428740757772E-3</v>
      </c>
    </row>
    <row r="68" spans="1:26">
      <c r="A68" s="14" t="s">
        <v>5</v>
      </c>
      <c r="B68">
        <v>2022</v>
      </c>
      <c r="C68" s="14">
        <v>380000</v>
      </c>
      <c r="D68" s="14">
        <v>240000</v>
      </c>
      <c r="E68" t="s">
        <v>138</v>
      </c>
      <c r="F68" s="14">
        <v>20000</v>
      </c>
      <c r="G68" s="14">
        <v>6900</v>
      </c>
      <c r="H68" t="s">
        <v>175</v>
      </c>
      <c r="I68" t="s">
        <v>131</v>
      </c>
      <c r="J68" t="s">
        <v>110</v>
      </c>
      <c r="K68" s="62">
        <v>0.46800000000000003</v>
      </c>
      <c r="L68" s="14">
        <f>D83</f>
        <v>0</v>
      </c>
      <c r="M68" s="1" t="s">
        <v>175</v>
      </c>
      <c r="N68" t="s">
        <v>496</v>
      </c>
      <c r="R68">
        <f t="shared" si="4"/>
        <v>0.63157894736842102</v>
      </c>
      <c r="U68" s="49">
        <v>30.48</v>
      </c>
      <c r="W68" s="26">
        <v>0.16500000000000001</v>
      </c>
      <c r="X68" s="26">
        <f t="shared" ref="X68:X71" si="6">$V$33</f>
        <v>0.29750000000000004</v>
      </c>
      <c r="Y68" s="48">
        <f>$U$70*(W68*'Allocation OPEX CAPEX'!L30+'Allocation OPEX CAPEX'!L15*mining!X68 + (1-mining!W68-mining!X68))</f>
        <v>38.265991198011086</v>
      </c>
      <c r="Z68">
        <f t="shared" si="5"/>
        <v>4.3682638353893938E-3</v>
      </c>
    </row>
    <row r="69" spans="1:26">
      <c r="A69" s="14" t="s">
        <v>112</v>
      </c>
      <c r="B69">
        <v>2022</v>
      </c>
      <c r="C69" s="14">
        <v>290000</v>
      </c>
      <c r="D69" s="14">
        <v>180000</v>
      </c>
      <c r="E69" t="s">
        <v>138</v>
      </c>
      <c r="F69" s="14">
        <v>5500</v>
      </c>
      <c r="G69" s="14">
        <v>3400</v>
      </c>
      <c r="H69" t="s">
        <v>175</v>
      </c>
      <c r="I69" t="s">
        <v>131</v>
      </c>
      <c r="J69" t="s">
        <v>198</v>
      </c>
      <c r="K69" s="62">
        <v>0</v>
      </c>
      <c r="L69" s="12">
        <f>D88</f>
        <v>0</v>
      </c>
      <c r="M69" s="1" t="s">
        <v>175</v>
      </c>
      <c r="N69" t="s">
        <v>496</v>
      </c>
      <c r="R69">
        <f t="shared" si="4"/>
        <v>0.62068965517241381</v>
      </c>
      <c r="U69" s="49">
        <v>57.76</v>
      </c>
      <c r="W69" s="26">
        <v>0.16500000000000001</v>
      </c>
      <c r="X69" s="26">
        <f t="shared" si="6"/>
        <v>0.29750000000000004</v>
      </c>
      <c r="Y69" s="48">
        <f>$U$70*(W69*'Allocation OPEX CAPEX'!L31+'Allocation OPEX CAPEX'!L16*mining!X69 + (1-mining!W69-mining!X69))</f>
        <v>36.506829184031645</v>
      </c>
      <c r="Z69">
        <f t="shared" si="5"/>
        <v>4.1674462538848905E-3</v>
      </c>
    </row>
    <row r="70" spans="1:26">
      <c r="A70" s="14" t="s">
        <v>164</v>
      </c>
      <c r="B70">
        <v>2022</v>
      </c>
      <c r="C70" s="14">
        <v>75000</v>
      </c>
      <c r="D70" s="14">
        <v>49000</v>
      </c>
      <c r="E70" t="s">
        <v>138</v>
      </c>
      <c r="F70" s="14">
        <v>2700</v>
      </c>
      <c r="G70" s="14">
        <v>1500</v>
      </c>
      <c r="H70" t="s">
        <v>175</v>
      </c>
      <c r="I70" t="s">
        <v>131</v>
      </c>
      <c r="J70" t="s">
        <v>303</v>
      </c>
      <c r="K70" s="62">
        <v>0</v>
      </c>
      <c r="L70" s="12">
        <f>D87</f>
        <v>0</v>
      </c>
      <c r="M70" s="1" t="s">
        <v>175</v>
      </c>
      <c r="N70" t="s">
        <v>496</v>
      </c>
      <c r="R70">
        <f t="shared" si="4"/>
        <v>0.65333333333333332</v>
      </c>
      <c r="T70" t="s">
        <v>914</v>
      </c>
      <c r="U70" s="49">
        <f>AVERAGE(U63:U69)*0.84</f>
        <v>30.905999999999999</v>
      </c>
      <c r="V70" t="s">
        <v>617</v>
      </c>
      <c r="W70" s="26">
        <v>0.16500000000000001</v>
      </c>
      <c r="X70" s="26">
        <f t="shared" si="6"/>
        <v>0.29750000000000004</v>
      </c>
      <c r="Y70" s="48">
        <f>$U$70*(W70*'Allocation OPEX CAPEX'!L32+'Allocation OPEX CAPEX'!L17*mining!X70 + (1-mining!W70-mining!X70))</f>
        <v>29.828548199748411</v>
      </c>
      <c r="Z70">
        <f t="shared" si="5"/>
        <v>3.4050854109301839E-3</v>
      </c>
    </row>
    <row r="71" spans="1:26">
      <c r="A71" s="14" t="s">
        <v>134</v>
      </c>
      <c r="B71">
        <v>2022</v>
      </c>
      <c r="C71" s="14">
        <v>66000</v>
      </c>
      <c r="D71" s="14">
        <v>14000</v>
      </c>
      <c r="E71" t="s">
        <v>138</v>
      </c>
      <c r="F71" s="14">
        <v>2500</v>
      </c>
      <c r="G71" s="14">
        <v>900</v>
      </c>
      <c r="H71" t="s">
        <v>175</v>
      </c>
      <c r="I71" t="s">
        <v>131</v>
      </c>
      <c r="J71" t="s">
        <v>703</v>
      </c>
      <c r="K71" s="62">
        <v>0.53900000000000003</v>
      </c>
      <c r="L71" s="12">
        <f>D85</f>
        <v>0</v>
      </c>
      <c r="M71" s="1" t="s">
        <v>175</v>
      </c>
      <c r="N71" t="s">
        <v>496</v>
      </c>
      <c r="R71">
        <f t="shared" si="4"/>
        <v>0.21212121212121213</v>
      </c>
      <c r="U71">
        <f>U70/8760</f>
        <v>3.5280821917808218E-3</v>
      </c>
      <c r="W71" s="26">
        <v>0.16500000000000001</v>
      </c>
      <c r="X71" s="26">
        <f t="shared" si="6"/>
        <v>0.29750000000000004</v>
      </c>
      <c r="Y71" s="48">
        <f>$U$70*(W71*'Allocation OPEX CAPEX'!L33+'Allocation OPEX CAPEX'!L18*mining!X71 + (1-mining!W71-mining!X71))</f>
        <v>26.886853395757829</v>
      </c>
      <c r="Z71">
        <f t="shared" si="5"/>
        <v>3.0692755017988388E-3</v>
      </c>
    </row>
    <row r="72" spans="1:26">
      <c r="A72" s="14" t="s">
        <v>165</v>
      </c>
      <c r="B72">
        <v>2022</v>
      </c>
      <c r="C72" s="14">
        <v>13000</v>
      </c>
      <c r="D72" s="14">
        <v>8100</v>
      </c>
      <c r="E72" t="s">
        <v>138</v>
      </c>
      <c r="F72" s="14" t="s">
        <v>169</v>
      </c>
      <c r="G72" s="14" t="s">
        <v>169</v>
      </c>
      <c r="H72" t="s">
        <v>175</v>
      </c>
      <c r="I72" t="s">
        <v>131</v>
      </c>
      <c r="J72" t="s">
        <v>448</v>
      </c>
      <c r="K72" s="12">
        <v>150.68799999999999</v>
      </c>
      <c r="L72" s="12">
        <f>F84-SUM(L67:L69,L64)</f>
        <v>1155</v>
      </c>
      <c r="M72" s="1" t="s">
        <v>175</v>
      </c>
      <c r="N72" t="s">
        <v>496</v>
      </c>
      <c r="R72">
        <f t="shared" si="4"/>
        <v>0.62307692307692308</v>
      </c>
      <c r="W72" s="26">
        <v>0.16500000000000001</v>
      </c>
      <c r="X72" s="26">
        <f>AVERAGE(X66,X65,X63,X73)</f>
        <v>0.29750000000000004</v>
      </c>
      <c r="Y72" s="48">
        <f>$U$70*(W72*'Allocation OPEX CAPEX'!L34+'Allocation OPEX CAPEX'!L19*mining!X72 + (1-mining!W72-mining!X72))</f>
        <v>30.944623555221117</v>
      </c>
      <c r="Z72">
        <f t="shared" si="5"/>
        <v>3.5324912734270683E-3</v>
      </c>
    </row>
    <row r="73" spans="1:26">
      <c r="A73" s="14" t="s">
        <v>147</v>
      </c>
      <c r="B73">
        <v>2022</v>
      </c>
      <c r="C73" s="14">
        <v>11000</v>
      </c>
      <c r="D73" s="14">
        <v>6900</v>
      </c>
      <c r="E73" t="s">
        <v>138</v>
      </c>
      <c r="F73" s="14" t="s">
        <v>169</v>
      </c>
      <c r="G73" s="14" t="s">
        <v>169</v>
      </c>
      <c r="H73" t="s">
        <v>175</v>
      </c>
      <c r="I73" t="s">
        <v>131</v>
      </c>
      <c r="J73" t="s">
        <v>449</v>
      </c>
      <c r="K73" s="12">
        <v>728.99400000000003</v>
      </c>
      <c r="L73" s="12">
        <f>F82-SUM(L63:L72,L74)</f>
        <v>70810</v>
      </c>
      <c r="M73" s="1" t="s">
        <v>175</v>
      </c>
      <c r="N73" t="s">
        <v>496</v>
      </c>
      <c r="P73" s="59">
        <f>0.0059955/0.46</f>
        <v>1.3033695652173912E-2</v>
      </c>
      <c r="Q73" t="s">
        <v>688</v>
      </c>
      <c r="R73">
        <f t="shared" si="4"/>
        <v>0.62727272727272732</v>
      </c>
      <c r="W73" s="26">
        <v>0.16500000000000001</v>
      </c>
      <c r="X73" s="26">
        <v>0.27</v>
      </c>
      <c r="Y73" s="48">
        <f>$U$70*(W73*'Allocation OPEX CAPEX'!L35+'Allocation OPEX CAPEX'!L20*mining!X73 + (1-mining!W73-mining!X73))</f>
        <v>30.905999999999999</v>
      </c>
      <c r="Z73">
        <f t="shared" si="5"/>
        <v>3.5280821917808218E-3</v>
      </c>
    </row>
    <row r="74" spans="1:26">
      <c r="A74" s="14" t="s">
        <v>148</v>
      </c>
      <c r="B74">
        <v>2022</v>
      </c>
      <c r="C74" s="14">
        <v>17000</v>
      </c>
      <c r="D74" s="14">
        <v>11000</v>
      </c>
      <c r="E74" t="s">
        <v>138</v>
      </c>
      <c r="F74" s="14">
        <v>2600</v>
      </c>
      <c r="G74" s="14">
        <v>1200</v>
      </c>
      <c r="H74" t="s">
        <v>175</v>
      </c>
      <c r="I74" t="s">
        <v>131</v>
      </c>
      <c r="J74" t="s">
        <v>107</v>
      </c>
      <c r="K74" s="12">
        <v>46</v>
      </c>
      <c r="L74" s="12">
        <f>F63</f>
        <v>3000</v>
      </c>
      <c r="M74" s="1" t="s">
        <v>175</v>
      </c>
      <c r="N74" t="s">
        <v>496</v>
      </c>
      <c r="R74">
        <f t="shared" si="4"/>
        <v>0.6470588235294118</v>
      </c>
      <c r="W74" s="26">
        <v>0.16500000000000001</v>
      </c>
      <c r="X74" s="26">
        <v>0.27</v>
      </c>
      <c r="Y74" s="48">
        <f>$U$70*(W74*'Allocation OPEX CAPEX'!L36+'Allocation OPEX CAPEX'!L21*mining!X74 + (1-mining!W74-mining!X74))</f>
        <v>33.210011443214995</v>
      </c>
      <c r="Z74">
        <f t="shared" si="5"/>
        <v>3.7910971967140407E-3</v>
      </c>
    </row>
    <row r="75" spans="1:26">
      <c r="A75" s="14" t="s">
        <v>117</v>
      </c>
      <c r="B75">
        <v>2022</v>
      </c>
      <c r="C75" s="14">
        <v>90000</v>
      </c>
      <c r="D75" s="14">
        <v>63000</v>
      </c>
      <c r="E75" t="s">
        <v>138</v>
      </c>
      <c r="F75" s="14">
        <v>29000</v>
      </c>
      <c r="G75" s="14">
        <v>14000</v>
      </c>
      <c r="H75" t="s">
        <v>175</v>
      </c>
      <c r="I75" t="s">
        <v>131</v>
      </c>
      <c r="R75">
        <f t="shared" si="4"/>
        <v>0.7</v>
      </c>
    </row>
    <row r="76" spans="1:26">
      <c r="A76" s="14" t="s">
        <v>166</v>
      </c>
      <c r="B76">
        <v>2022</v>
      </c>
      <c r="C76" s="14">
        <v>76000</v>
      </c>
      <c r="D76" s="14">
        <v>48000</v>
      </c>
      <c r="E76" t="s">
        <v>138</v>
      </c>
      <c r="F76" s="14">
        <v>1000</v>
      </c>
      <c r="G76" s="14">
        <v>670</v>
      </c>
      <c r="H76" t="s">
        <v>175</v>
      </c>
      <c r="I76" t="s">
        <v>131</v>
      </c>
      <c r="J76" t="s">
        <v>743</v>
      </c>
      <c r="K76">
        <f>104*0.84</f>
        <v>87.36</v>
      </c>
      <c r="L76" t="s">
        <v>617</v>
      </c>
      <c r="M76" t="s">
        <v>744</v>
      </c>
      <c r="R76">
        <f t="shared" si="4"/>
        <v>0.63157894736842102</v>
      </c>
    </row>
    <row r="77" spans="1:26">
      <c r="A77" s="14" t="s">
        <v>167</v>
      </c>
      <c r="B77">
        <v>2022</v>
      </c>
      <c r="C77" s="14">
        <v>39000</v>
      </c>
      <c r="D77" s="14">
        <v>28000</v>
      </c>
      <c r="E77" t="s">
        <v>138</v>
      </c>
      <c r="F77" s="14">
        <v>1300</v>
      </c>
      <c r="G77" s="14">
        <v>600</v>
      </c>
      <c r="H77" t="s">
        <v>175</v>
      </c>
      <c r="I77" t="s">
        <v>131</v>
      </c>
      <c r="R77">
        <f t="shared" si="4"/>
        <v>0.71794871794871795</v>
      </c>
    </row>
    <row r="78" spans="1:26">
      <c r="A78" s="14" t="s">
        <v>168</v>
      </c>
      <c r="B78">
        <v>2022</v>
      </c>
      <c r="C78" s="14">
        <v>17000</v>
      </c>
      <c r="D78" s="14">
        <v>10000</v>
      </c>
      <c r="E78" t="s">
        <v>138</v>
      </c>
      <c r="F78" s="14">
        <v>130</v>
      </c>
      <c r="G78" s="14">
        <v>38</v>
      </c>
      <c r="H78" t="s">
        <v>175</v>
      </c>
      <c r="I78" t="s">
        <v>131</v>
      </c>
      <c r="R78">
        <f t="shared" si="4"/>
        <v>0.58823529411764708</v>
      </c>
    </row>
    <row r="79" spans="1:26">
      <c r="A79" s="14" t="s">
        <v>368</v>
      </c>
      <c r="B79">
        <v>2021</v>
      </c>
      <c r="C79" s="14">
        <v>3311</v>
      </c>
      <c r="D79" s="14">
        <v>840</v>
      </c>
      <c r="E79" t="s">
        <v>138</v>
      </c>
      <c r="F79" s="14">
        <v>35</v>
      </c>
      <c r="G79" s="14"/>
      <c r="I79" t="s">
        <v>742</v>
      </c>
      <c r="R79">
        <f t="shared" si="4"/>
        <v>0.2536997885835095</v>
      </c>
    </row>
    <row r="80" spans="1:26">
      <c r="A80" s="14" t="s">
        <v>135</v>
      </c>
      <c r="B80">
        <v>2022</v>
      </c>
      <c r="C80" s="14">
        <v>76000</v>
      </c>
      <c r="D80" s="14">
        <v>47000</v>
      </c>
      <c r="E80" t="s">
        <v>138</v>
      </c>
      <c r="F80" s="14">
        <v>6500</v>
      </c>
      <c r="G80" s="14">
        <v>2300</v>
      </c>
      <c r="H80" t="s">
        <v>175</v>
      </c>
      <c r="I80" t="s">
        <v>131</v>
      </c>
      <c r="R80">
        <f t="shared" si="4"/>
        <v>0.61842105263157898</v>
      </c>
    </row>
    <row r="81" spans="1:19">
      <c r="A81" s="14" t="s">
        <v>160</v>
      </c>
      <c r="B81">
        <v>2022</v>
      </c>
      <c r="C81" s="14">
        <v>59000</v>
      </c>
      <c r="D81" s="14">
        <v>5000</v>
      </c>
      <c r="E81" t="s">
        <v>138</v>
      </c>
      <c r="F81" s="14">
        <v>18000</v>
      </c>
      <c r="G81" s="14">
        <v>9500</v>
      </c>
      <c r="H81" t="s">
        <v>175</v>
      </c>
      <c r="I81" t="s">
        <v>131</v>
      </c>
      <c r="R81">
        <f t="shared" si="4"/>
        <v>8.4745762711864403E-2</v>
      </c>
    </row>
    <row r="82" spans="1:19">
      <c r="A82" s="14" t="s">
        <v>161</v>
      </c>
      <c r="B82">
        <v>2022</v>
      </c>
      <c r="C82" s="14">
        <v>2600000</v>
      </c>
      <c r="D82" s="14">
        <v>1600000</v>
      </c>
      <c r="E82" t="s">
        <v>138</v>
      </c>
      <c r="F82" s="14">
        <v>180000</v>
      </c>
      <c r="G82" s="14">
        <v>85000</v>
      </c>
      <c r="H82" t="s">
        <v>175</v>
      </c>
      <c r="I82" t="s">
        <v>131</v>
      </c>
      <c r="R82">
        <f t="shared" si="4"/>
        <v>0.61538461538461542</v>
      </c>
    </row>
    <row r="83" spans="1:19">
      <c r="A83" s="14" t="s">
        <v>435</v>
      </c>
      <c r="B83">
        <v>2015</v>
      </c>
      <c r="C83" s="14">
        <v>468</v>
      </c>
      <c r="D83" s="14"/>
      <c r="E83" t="s">
        <v>138</v>
      </c>
      <c r="I83" t="s">
        <v>427</v>
      </c>
      <c r="Q83" s="1" t="s">
        <v>921</v>
      </c>
      <c r="R83" s="1">
        <f>AVERAGE(R63:R82)</f>
        <v>0.53506883907913205</v>
      </c>
    </row>
    <row r="84" spans="1:19">
      <c r="A84" s="14" t="s">
        <v>439</v>
      </c>
      <c r="B84">
        <v>2019</v>
      </c>
      <c r="C84" s="14">
        <v>154467</v>
      </c>
      <c r="E84" t="s">
        <v>138</v>
      </c>
      <c r="F84">
        <f>0.014*G82</f>
        <v>1190</v>
      </c>
      <c r="H84" t="s">
        <v>741</v>
      </c>
      <c r="I84" t="s">
        <v>440</v>
      </c>
      <c r="Q84" t="s">
        <v>614</v>
      </c>
      <c r="R84">
        <f>1/R83</f>
        <v>1.868918402576063</v>
      </c>
      <c r="S84" t="s">
        <v>746</v>
      </c>
    </row>
    <row r="85" spans="1:19">
      <c r="A85" s="14" t="s">
        <v>443</v>
      </c>
      <c r="B85">
        <v>2021</v>
      </c>
      <c r="C85" s="14">
        <v>539</v>
      </c>
      <c r="D85" s="14"/>
      <c r="E85" t="s">
        <v>138</v>
      </c>
      <c r="G85" s="14"/>
      <c r="I85" t="s">
        <v>429</v>
      </c>
    </row>
    <row r="86" spans="1:19">
      <c r="A86" s="14" t="s">
        <v>433</v>
      </c>
      <c r="B86">
        <v>2022</v>
      </c>
      <c r="C86" s="14">
        <v>0</v>
      </c>
      <c r="D86" s="14"/>
      <c r="E86" t="s">
        <v>138</v>
      </c>
      <c r="G86" s="14"/>
      <c r="I86" s="38" t="s">
        <v>490</v>
      </c>
    </row>
    <row r="87" spans="1:19">
      <c r="A87" s="14" t="s">
        <v>491</v>
      </c>
      <c r="B87">
        <v>2022</v>
      </c>
      <c r="C87" s="14">
        <v>0</v>
      </c>
      <c r="D87" s="14"/>
      <c r="E87" t="s">
        <v>138</v>
      </c>
      <c r="G87" s="14"/>
      <c r="I87" t="s">
        <v>490</v>
      </c>
    </row>
    <row r="88" spans="1:19">
      <c r="A88" s="14" t="s">
        <v>436</v>
      </c>
      <c r="B88">
        <v>2022</v>
      </c>
      <c r="C88" s="14">
        <v>0</v>
      </c>
      <c r="D88" s="14"/>
      <c r="E88" t="s">
        <v>138</v>
      </c>
      <c r="G88" s="14"/>
      <c r="I88" t="s">
        <v>490</v>
      </c>
    </row>
    <row r="89" spans="1:19">
      <c r="A89" s="14"/>
      <c r="D89" s="14"/>
      <c r="G89" s="14"/>
    </row>
    <row r="90" spans="1:19">
      <c r="A90" s="14"/>
      <c r="D90" s="14"/>
      <c r="F90" s="12"/>
      <c r="G90" s="14"/>
    </row>
    <row r="91" spans="1:19">
      <c r="A91" s="14"/>
      <c r="D91" s="14"/>
      <c r="G91" s="14"/>
    </row>
    <row r="92" spans="1:19">
      <c r="A92" s="14"/>
      <c r="D92" s="14"/>
      <c r="G92" s="14"/>
    </row>
    <row r="93" spans="1:19">
      <c r="A93" s="14"/>
      <c r="D93" s="14"/>
      <c r="G93" s="14"/>
    </row>
    <row r="94" spans="1:19">
      <c r="A94" s="14"/>
      <c r="D94" s="14"/>
      <c r="G94" s="14"/>
    </row>
    <row r="95" spans="1:19">
      <c r="A95" s="14"/>
      <c r="D95" s="14"/>
      <c r="G95" s="14"/>
    </row>
    <row r="96" spans="1:19">
      <c r="A96" s="14"/>
      <c r="D96" s="14"/>
      <c r="G96" s="14"/>
    </row>
    <row r="97" spans="1:7">
      <c r="A97" s="14"/>
      <c r="D97" s="14"/>
      <c r="G97" s="14"/>
    </row>
    <row r="98" spans="1:7">
      <c r="A98" s="14"/>
      <c r="D98" s="14"/>
      <c r="G98" s="14"/>
    </row>
    <row r="99" spans="1:7">
      <c r="A99" s="14"/>
      <c r="D99" s="14"/>
      <c r="G99" s="14"/>
    </row>
    <row r="100" spans="1:7">
      <c r="A100" s="14"/>
      <c r="D100" s="14"/>
      <c r="G100" s="14"/>
    </row>
    <row r="101" spans="1:7">
      <c r="A101" s="14"/>
      <c r="D101" s="14"/>
      <c r="G101" s="14"/>
    </row>
  </sheetData>
  <sortState xmlns:xlrd2="http://schemas.microsoft.com/office/spreadsheetml/2017/richdata2" ref="I24:M35">
    <sortCondition ref="I24:I35"/>
  </sortState>
  <phoneticPr fontId="2" type="noConversion"/>
  <hyperlinks>
    <hyperlink ref="Q31" r:id="rId1" xr:uid="{9137DBAE-B2F5-7B4D-AE89-DE309815A990}"/>
    <hyperlink ref="I86" r:id="rId2" xr:uid="{E857254C-3994-6A4B-BA0D-459BDA9D6593}"/>
    <hyperlink ref="L37" r:id="rId3" xr:uid="{229E8597-5E2F-BA47-89A1-7FA3FF8134E7}"/>
    <hyperlink ref="M59" r:id="rId4" xr:uid="{9FC3790E-B081-694A-84AB-BEF62BA28DC9}"/>
  </hyperlinks>
  <pageMargins left="0.7" right="0.7" top="0.78740157499999996" bottom="0.78740157499999996" header="0.3" footer="0.3"/>
  <pageSetup paperSize="9" orientation="portrait" horizontalDpi="0" verticalDpi="0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CE99-9953-F847-8AFE-129E445CA47E}">
  <dimension ref="A1"/>
  <sheetViews>
    <sheetView workbookViewId="0"/>
  </sheetViews>
  <sheetFormatPr baseColWidth="10" defaultRowHeight="16"/>
  <sheetData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65D2-18B1-924C-A802-D06F5E33240F}">
  <dimension ref="A1:AI80"/>
  <sheetViews>
    <sheetView topLeftCell="A38" zoomScale="81" workbookViewId="0">
      <selection activeCell="D63" sqref="D63"/>
    </sheetView>
  </sheetViews>
  <sheetFormatPr baseColWidth="10" defaultRowHeight="16"/>
  <cols>
    <col min="1" max="1" width="20.83203125" bestFit="1" customWidth="1"/>
    <col min="3" max="3" width="17.6640625" bestFit="1" customWidth="1"/>
    <col min="4" max="4" width="14.5" bestFit="1" customWidth="1"/>
    <col min="6" max="6" width="14.5" bestFit="1" customWidth="1"/>
    <col min="7" max="7" width="17.6640625" bestFit="1" customWidth="1"/>
    <col min="34" max="34" width="16.5" bestFit="1" customWidth="1"/>
  </cols>
  <sheetData>
    <row r="1" spans="1:35" ht="19" customHeight="1">
      <c r="A1" s="152" t="s">
        <v>128</v>
      </c>
      <c r="B1" s="153"/>
      <c r="C1" s="153"/>
      <c r="D1" s="153"/>
      <c r="E1" s="153"/>
      <c r="F1" s="153"/>
      <c r="G1" s="82"/>
      <c r="H1" s="82"/>
      <c r="I1" s="83"/>
      <c r="K1" s="81" t="s">
        <v>37</v>
      </c>
      <c r="L1" s="117"/>
      <c r="M1" s="117"/>
      <c r="N1" s="117"/>
      <c r="O1" s="82"/>
      <c r="P1" s="82"/>
      <c r="Q1" s="82"/>
      <c r="R1" s="82"/>
      <c r="S1" s="82"/>
      <c r="T1" s="82"/>
      <c r="U1" s="83"/>
      <c r="W1" s="81" t="s">
        <v>180</v>
      </c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3"/>
    </row>
    <row r="2" spans="1:35">
      <c r="A2" s="84" t="s">
        <v>125</v>
      </c>
      <c r="B2">
        <v>4</v>
      </c>
      <c r="D2" t="s">
        <v>124</v>
      </c>
      <c r="E2" t="s">
        <v>126</v>
      </c>
      <c r="F2" t="s">
        <v>129</v>
      </c>
      <c r="I2" s="86"/>
      <c r="K2" s="84" t="s">
        <v>125</v>
      </c>
      <c r="O2">
        <v>1</v>
      </c>
      <c r="P2" t="s">
        <v>124</v>
      </c>
      <c r="Q2" t="s">
        <v>153</v>
      </c>
      <c r="R2" t="s">
        <v>129</v>
      </c>
      <c r="U2" s="86"/>
      <c r="W2" s="84" t="s">
        <v>125</v>
      </c>
      <c r="X2">
        <v>1.6</v>
      </c>
      <c r="Y2" t="s">
        <v>124</v>
      </c>
      <c r="Z2" t="s">
        <v>129</v>
      </c>
      <c r="AI2" s="86"/>
    </row>
    <row r="3" spans="1:35">
      <c r="A3" s="84" t="s">
        <v>127</v>
      </c>
      <c r="B3">
        <v>1</v>
      </c>
      <c r="D3" t="s">
        <v>124</v>
      </c>
      <c r="E3" t="s">
        <v>128</v>
      </c>
      <c r="F3" t="s">
        <v>130</v>
      </c>
      <c r="I3" s="86"/>
      <c r="K3" s="84" t="s">
        <v>127</v>
      </c>
      <c r="O3" s="118" t="s">
        <v>154</v>
      </c>
      <c r="P3" t="s">
        <v>31</v>
      </c>
      <c r="Q3" t="s">
        <v>86</v>
      </c>
      <c r="R3" t="s">
        <v>156</v>
      </c>
      <c r="U3" s="111" t="s">
        <v>155</v>
      </c>
      <c r="V3" s="1"/>
      <c r="W3" s="84" t="s">
        <v>127</v>
      </c>
      <c r="X3">
        <v>1</v>
      </c>
      <c r="Y3" t="s">
        <v>124</v>
      </c>
      <c r="Z3" t="s">
        <v>181</v>
      </c>
      <c r="AI3" s="86"/>
    </row>
    <row r="4" spans="1:35">
      <c r="A4" s="84" t="s">
        <v>707</v>
      </c>
      <c r="I4" s="86"/>
      <c r="K4" s="88" t="s">
        <v>704</v>
      </c>
      <c r="L4" s="1"/>
      <c r="M4" s="1"/>
      <c r="N4" s="1"/>
      <c r="O4">
        <f>9.83*0.84</f>
        <v>8.2571999999999992</v>
      </c>
      <c r="P4" t="s">
        <v>705</v>
      </c>
      <c r="Q4" t="s">
        <v>706</v>
      </c>
      <c r="U4" s="86"/>
      <c r="W4" s="84" t="s">
        <v>704</v>
      </c>
      <c r="X4">
        <f>3307*0.84</f>
        <v>2777.88</v>
      </c>
      <c r="Y4" t="s">
        <v>617</v>
      </c>
      <c r="Z4" t="s">
        <v>745</v>
      </c>
      <c r="AI4" s="86"/>
    </row>
    <row r="5" spans="1:35">
      <c r="A5" s="84"/>
      <c r="I5" s="86"/>
      <c r="K5" s="84"/>
      <c r="U5" s="86"/>
      <c r="W5" s="84"/>
      <c r="AI5" s="86"/>
    </row>
    <row r="6" spans="1:35">
      <c r="A6" s="88" t="s">
        <v>139</v>
      </c>
      <c r="B6" s="1" t="s">
        <v>1</v>
      </c>
      <c r="C6" s="1"/>
      <c r="D6" s="1" t="s">
        <v>140</v>
      </c>
      <c r="E6" s="1" t="s">
        <v>141</v>
      </c>
      <c r="F6" s="1" t="s">
        <v>142</v>
      </c>
      <c r="G6" s="1" t="s">
        <v>455</v>
      </c>
      <c r="H6" s="1" t="s">
        <v>141</v>
      </c>
      <c r="I6" s="111" t="s">
        <v>210</v>
      </c>
      <c r="K6" s="88" t="s">
        <v>139</v>
      </c>
      <c r="L6" s="1"/>
      <c r="M6" s="1"/>
      <c r="N6" s="1"/>
      <c r="O6" s="1" t="s">
        <v>1</v>
      </c>
      <c r="P6" s="1" t="s">
        <v>140</v>
      </c>
      <c r="Q6" s="1" t="s">
        <v>141</v>
      </c>
      <c r="R6" s="1" t="s">
        <v>142</v>
      </c>
      <c r="S6" s="1" t="s">
        <v>468</v>
      </c>
      <c r="T6" s="1"/>
      <c r="U6" s="86"/>
      <c r="W6" s="88" t="s">
        <v>139</v>
      </c>
      <c r="X6" s="1" t="s">
        <v>1</v>
      </c>
      <c r="Y6" s="1" t="s">
        <v>140</v>
      </c>
      <c r="Z6" s="1" t="s">
        <v>141</v>
      </c>
      <c r="AA6" s="1" t="s">
        <v>138</v>
      </c>
      <c r="AB6" s="1" t="s">
        <v>142</v>
      </c>
      <c r="AD6" s="1"/>
      <c r="AE6" s="1"/>
      <c r="AF6" s="1"/>
      <c r="AG6" s="1"/>
      <c r="AI6" s="86"/>
    </row>
    <row r="7" spans="1:35">
      <c r="A7" s="112" t="s">
        <v>132</v>
      </c>
      <c r="B7">
        <v>2022</v>
      </c>
      <c r="D7" s="113">
        <v>20000</v>
      </c>
      <c r="E7" t="s">
        <v>138</v>
      </c>
      <c r="F7" t="s">
        <v>143</v>
      </c>
      <c r="G7" t="s">
        <v>478</v>
      </c>
      <c r="I7" s="86"/>
      <c r="K7" s="112" t="s">
        <v>132</v>
      </c>
      <c r="L7" s="14"/>
      <c r="M7" s="14"/>
      <c r="N7" s="14"/>
      <c r="O7">
        <v>2022</v>
      </c>
      <c r="P7" s="14">
        <v>380</v>
      </c>
      <c r="Q7" t="s">
        <v>138</v>
      </c>
      <c r="R7" t="s">
        <v>143</v>
      </c>
      <c r="U7" s="86"/>
      <c r="W7" s="84" t="s">
        <v>132</v>
      </c>
      <c r="AA7">
        <v>5808</v>
      </c>
      <c r="AB7" t="s">
        <v>428</v>
      </c>
      <c r="AI7" s="86"/>
    </row>
    <row r="8" spans="1:35">
      <c r="A8" s="112" t="s">
        <v>368</v>
      </c>
      <c r="B8">
        <v>2021</v>
      </c>
      <c r="D8" s="113">
        <v>491</v>
      </c>
      <c r="E8" t="s">
        <v>138</v>
      </c>
      <c r="F8" t="s">
        <v>428</v>
      </c>
      <c r="I8" s="86"/>
      <c r="K8" s="112" t="s">
        <v>368</v>
      </c>
      <c r="L8" s="14"/>
      <c r="M8" s="14"/>
      <c r="N8" s="14"/>
      <c r="O8">
        <v>2022</v>
      </c>
      <c r="P8" s="14">
        <v>133</v>
      </c>
      <c r="Q8" t="s">
        <v>138</v>
      </c>
      <c r="R8" t="s">
        <v>429</v>
      </c>
      <c r="U8" s="86"/>
      <c r="W8" s="112" t="s">
        <v>368</v>
      </c>
      <c r="X8">
        <v>2021</v>
      </c>
      <c r="Y8" s="14">
        <v>7.8840000000000003</v>
      </c>
      <c r="Z8" t="s">
        <v>175</v>
      </c>
      <c r="AA8">
        <f>Y8*1000</f>
        <v>7884</v>
      </c>
      <c r="AB8" t="s">
        <v>430</v>
      </c>
      <c r="AI8" s="86"/>
    </row>
    <row r="9" spans="1:35">
      <c r="A9" s="112" t="s">
        <v>19</v>
      </c>
      <c r="B9">
        <v>2022</v>
      </c>
      <c r="D9" s="113">
        <v>11000</v>
      </c>
      <c r="E9" t="s">
        <v>138</v>
      </c>
      <c r="F9" t="s">
        <v>143</v>
      </c>
      <c r="G9" t="s">
        <v>479</v>
      </c>
      <c r="I9" s="86"/>
      <c r="K9" s="112" t="s">
        <v>19</v>
      </c>
      <c r="L9" s="14"/>
      <c r="M9" s="14"/>
      <c r="N9" s="14"/>
      <c r="O9">
        <v>2021</v>
      </c>
      <c r="P9" s="14">
        <v>133.5</v>
      </c>
      <c r="Q9" t="s">
        <v>138</v>
      </c>
      <c r="R9" t="s">
        <v>428</v>
      </c>
      <c r="U9" s="86"/>
      <c r="W9" s="112" t="s">
        <v>19</v>
      </c>
      <c r="X9">
        <v>2022</v>
      </c>
      <c r="Y9" s="14">
        <v>33</v>
      </c>
      <c r="Z9" t="s">
        <v>175</v>
      </c>
      <c r="AA9">
        <f t="shared" ref="AA9:AA29" si="0">Y9*1000</f>
        <v>33000</v>
      </c>
      <c r="AB9" t="s">
        <v>143</v>
      </c>
      <c r="AC9" t="s">
        <v>487</v>
      </c>
      <c r="AI9" s="86"/>
    </row>
    <row r="10" spans="1:35">
      <c r="A10" s="112" t="s">
        <v>109</v>
      </c>
      <c r="B10">
        <v>2022</v>
      </c>
      <c r="D10" s="113">
        <v>1300</v>
      </c>
      <c r="E10" t="s">
        <v>138</v>
      </c>
      <c r="F10" t="s">
        <v>143</v>
      </c>
      <c r="I10" s="86"/>
      <c r="K10" s="112" t="s">
        <v>109</v>
      </c>
      <c r="L10" s="14"/>
      <c r="M10" s="14"/>
      <c r="N10" s="14"/>
      <c r="O10">
        <v>2022</v>
      </c>
      <c r="P10" s="14">
        <v>310</v>
      </c>
      <c r="Q10" t="s">
        <v>138</v>
      </c>
      <c r="R10" t="s">
        <v>143</v>
      </c>
      <c r="U10" s="86"/>
      <c r="W10" s="112" t="s">
        <v>5</v>
      </c>
      <c r="X10">
        <v>2022</v>
      </c>
      <c r="Y10" s="14">
        <v>990</v>
      </c>
      <c r="Z10" t="s">
        <v>175</v>
      </c>
      <c r="AA10">
        <f t="shared" si="0"/>
        <v>990000</v>
      </c>
      <c r="AB10" t="s">
        <v>143</v>
      </c>
      <c r="AC10" t="s">
        <v>483</v>
      </c>
      <c r="AI10" s="86"/>
    </row>
    <row r="11" spans="1:35">
      <c r="A11" s="112" t="s">
        <v>5</v>
      </c>
      <c r="B11">
        <v>2022</v>
      </c>
      <c r="D11" s="113">
        <v>76000</v>
      </c>
      <c r="E11" t="s">
        <v>138</v>
      </c>
      <c r="F11" t="s">
        <v>143</v>
      </c>
      <c r="G11" s="114" t="s">
        <v>478</v>
      </c>
      <c r="I11" s="86"/>
      <c r="K11" s="112" t="s">
        <v>144</v>
      </c>
      <c r="L11" s="14"/>
      <c r="M11" s="14"/>
      <c r="N11" s="14"/>
      <c r="O11">
        <v>2022</v>
      </c>
      <c r="P11" s="14">
        <v>2100</v>
      </c>
      <c r="Q11" t="s">
        <v>138</v>
      </c>
      <c r="R11" t="s">
        <v>143</v>
      </c>
      <c r="U11" s="86"/>
      <c r="W11" s="112" t="s">
        <v>193</v>
      </c>
      <c r="X11">
        <v>2021</v>
      </c>
      <c r="Y11" s="14">
        <v>4.8170000000000002</v>
      </c>
      <c r="Z11" t="s">
        <v>175</v>
      </c>
      <c r="AA11">
        <f t="shared" si="0"/>
        <v>4817</v>
      </c>
      <c r="AB11" t="s">
        <v>430</v>
      </c>
      <c r="AI11" s="86"/>
    </row>
    <row r="12" spans="1:35">
      <c r="A12" s="112" t="s">
        <v>431</v>
      </c>
      <c r="B12">
        <v>2021</v>
      </c>
      <c r="D12" s="113">
        <v>60</v>
      </c>
      <c r="E12" t="s">
        <v>138</v>
      </c>
      <c r="F12" t="s">
        <v>428</v>
      </c>
      <c r="I12" s="86"/>
      <c r="K12" s="112" t="s">
        <v>5</v>
      </c>
      <c r="L12" s="14"/>
      <c r="M12" s="14"/>
      <c r="N12" s="14"/>
      <c r="O12">
        <v>2022</v>
      </c>
      <c r="P12" s="14">
        <v>11000</v>
      </c>
      <c r="Q12" t="s">
        <v>138</v>
      </c>
      <c r="R12" t="s">
        <v>143</v>
      </c>
      <c r="S12" t="s">
        <v>462</v>
      </c>
      <c r="U12" s="86"/>
      <c r="W12" s="112" t="s">
        <v>439</v>
      </c>
      <c r="X12">
        <v>2019</v>
      </c>
      <c r="Y12" s="14">
        <v>299.41899999999998</v>
      </c>
      <c r="Z12" t="s">
        <v>175</v>
      </c>
      <c r="AA12">
        <f t="shared" si="0"/>
        <v>299419</v>
      </c>
      <c r="AB12" t="s">
        <v>440</v>
      </c>
      <c r="AC12" t="s">
        <v>486</v>
      </c>
      <c r="AI12" s="86"/>
    </row>
    <row r="13" spans="1:35">
      <c r="A13" s="112" t="s">
        <v>184</v>
      </c>
      <c r="B13">
        <v>2019</v>
      </c>
      <c r="D13" s="113">
        <v>8589</v>
      </c>
      <c r="E13" t="s">
        <v>138</v>
      </c>
      <c r="F13" t="s">
        <v>432</v>
      </c>
      <c r="G13" t="s">
        <v>478</v>
      </c>
      <c r="I13" s="86"/>
      <c r="K13" s="112" t="s">
        <v>145</v>
      </c>
      <c r="L13" s="14"/>
      <c r="M13" s="14"/>
      <c r="N13" s="14"/>
      <c r="O13">
        <v>2022</v>
      </c>
      <c r="P13" s="14">
        <v>1700</v>
      </c>
      <c r="Q13" t="s">
        <v>138</v>
      </c>
      <c r="R13" t="s">
        <v>143</v>
      </c>
      <c r="U13" s="86"/>
      <c r="W13" s="112" t="s">
        <v>110</v>
      </c>
      <c r="X13">
        <v>2022</v>
      </c>
      <c r="Y13" s="14">
        <v>38</v>
      </c>
      <c r="Z13" t="s">
        <v>175</v>
      </c>
      <c r="AA13">
        <f t="shared" si="0"/>
        <v>38000</v>
      </c>
      <c r="AB13" t="s">
        <v>143</v>
      </c>
      <c r="AC13" t="s">
        <v>483</v>
      </c>
      <c r="AI13" s="86"/>
    </row>
    <row r="14" spans="1:35">
      <c r="A14" s="112" t="s">
        <v>110</v>
      </c>
      <c r="B14">
        <v>2022</v>
      </c>
      <c r="D14" s="113">
        <v>750</v>
      </c>
      <c r="E14" t="s">
        <v>138</v>
      </c>
      <c r="F14" t="s">
        <v>143</v>
      </c>
      <c r="I14" s="86"/>
      <c r="K14" s="112" t="s">
        <v>433</v>
      </c>
      <c r="L14" s="14"/>
      <c r="M14" s="14"/>
      <c r="N14" s="14"/>
      <c r="P14" s="14" t="s">
        <v>434</v>
      </c>
      <c r="U14" s="86"/>
      <c r="W14" s="112" t="s">
        <v>112</v>
      </c>
      <c r="X14">
        <v>2022</v>
      </c>
      <c r="Y14" s="14">
        <v>130</v>
      </c>
      <c r="Z14" t="s">
        <v>175</v>
      </c>
      <c r="AA14">
        <f t="shared" si="0"/>
        <v>130000</v>
      </c>
      <c r="AB14" t="s">
        <v>143</v>
      </c>
      <c r="AI14" s="86"/>
    </row>
    <row r="15" spans="1:35">
      <c r="A15" s="112" t="s">
        <v>111</v>
      </c>
      <c r="B15">
        <v>2022</v>
      </c>
      <c r="D15" s="113">
        <v>440</v>
      </c>
      <c r="E15" t="s">
        <v>138</v>
      </c>
      <c r="F15" t="s">
        <v>143</v>
      </c>
      <c r="I15" s="86"/>
      <c r="K15" s="112" t="s">
        <v>184</v>
      </c>
      <c r="L15" s="14"/>
      <c r="M15" s="14"/>
      <c r="N15" s="14"/>
      <c r="O15">
        <v>2019</v>
      </c>
      <c r="P15" s="14">
        <v>3429</v>
      </c>
      <c r="Q15" t="s">
        <v>138</v>
      </c>
      <c r="R15" t="s">
        <v>446</v>
      </c>
      <c r="S15" t="s">
        <v>687</v>
      </c>
      <c r="U15" s="86"/>
      <c r="W15" s="112" t="s">
        <v>164</v>
      </c>
      <c r="X15">
        <v>2022</v>
      </c>
      <c r="Y15" s="14">
        <v>29</v>
      </c>
      <c r="Z15" t="s">
        <v>175</v>
      </c>
      <c r="AA15">
        <f t="shared" si="0"/>
        <v>29000</v>
      </c>
      <c r="AB15" t="s">
        <v>143</v>
      </c>
      <c r="AI15" s="86"/>
    </row>
    <row r="16" spans="1:35">
      <c r="A16" s="112" t="s">
        <v>112</v>
      </c>
      <c r="B16">
        <v>2022</v>
      </c>
      <c r="D16" s="113">
        <v>7400</v>
      </c>
      <c r="E16" t="s">
        <v>138</v>
      </c>
      <c r="F16" t="s">
        <v>143</v>
      </c>
      <c r="I16" s="86"/>
      <c r="K16" s="112" t="s">
        <v>110</v>
      </c>
      <c r="L16" s="14"/>
      <c r="M16" s="14"/>
      <c r="N16" s="14"/>
      <c r="O16">
        <v>2022</v>
      </c>
      <c r="P16" s="14">
        <v>620</v>
      </c>
      <c r="Q16" t="s">
        <v>138</v>
      </c>
      <c r="R16" t="s">
        <v>143</v>
      </c>
      <c r="U16" s="86"/>
      <c r="W16" s="112" t="s">
        <v>177</v>
      </c>
      <c r="X16">
        <v>2022</v>
      </c>
      <c r="Y16" s="14">
        <v>24</v>
      </c>
      <c r="Z16" t="s">
        <v>175</v>
      </c>
      <c r="AA16">
        <f t="shared" si="0"/>
        <v>24000</v>
      </c>
      <c r="AB16" t="s">
        <v>143</v>
      </c>
      <c r="AC16" t="s">
        <v>489</v>
      </c>
      <c r="AI16" s="86"/>
    </row>
    <row r="17" spans="1:35">
      <c r="A17" s="112" t="s">
        <v>113</v>
      </c>
      <c r="B17">
        <v>2022</v>
      </c>
      <c r="D17" s="113">
        <v>1100</v>
      </c>
      <c r="E17" t="s">
        <v>138</v>
      </c>
      <c r="F17" t="s">
        <v>143</v>
      </c>
      <c r="I17" s="86"/>
      <c r="K17" s="112" t="s">
        <v>113</v>
      </c>
      <c r="L17" s="14"/>
      <c r="M17" s="14"/>
      <c r="N17" s="14"/>
      <c r="O17">
        <v>2022</v>
      </c>
      <c r="P17" s="14">
        <v>300</v>
      </c>
      <c r="Q17" t="s">
        <v>138</v>
      </c>
      <c r="R17" t="s">
        <v>143</v>
      </c>
      <c r="U17" s="86"/>
      <c r="W17" s="112" t="s">
        <v>436</v>
      </c>
      <c r="X17">
        <v>2021</v>
      </c>
      <c r="Y17" s="14">
        <v>24.4</v>
      </c>
      <c r="Z17" t="s">
        <v>175</v>
      </c>
      <c r="AA17">
        <f t="shared" si="0"/>
        <v>24400</v>
      </c>
      <c r="AB17" t="s">
        <v>430</v>
      </c>
      <c r="AI17" s="86"/>
    </row>
    <row r="18" spans="1:35">
      <c r="A18" s="112" t="s">
        <v>114</v>
      </c>
      <c r="B18">
        <v>2022</v>
      </c>
      <c r="D18" s="113">
        <v>1800</v>
      </c>
      <c r="E18" t="s">
        <v>138</v>
      </c>
      <c r="F18" t="s">
        <v>143</v>
      </c>
      <c r="I18" s="86"/>
      <c r="K18" s="112" t="s">
        <v>436</v>
      </c>
      <c r="L18" s="14"/>
      <c r="M18" s="14"/>
      <c r="N18" s="14"/>
      <c r="O18">
        <v>2021</v>
      </c>
      <c r="P18" s="119">
        <v>15.4</v>
      </c>
      <c r="Q18" t="s">
        <v>138</v>
      </c>
      <c r="R18" t="s">
        <v>710</v>
      </c>
      <c r="U18" s="86"/>
      <c r="W18" s="112" t="s">
        <v>11</v>
      </c>
      <c r="X18">
        <v>2022</v>
      </c>
      <c r="Y18" s="14">
        <v>97</v>
      </c>
      <c r="Z18" t="s">
        <v>175</v>
      </c>
      <c r="AA18">
        <f t="shared" si="0"/>
        <v>97000</v>
      </c>
      <c r="AB18" t="s">
        <v>143</v>
      </c>
      <c r="AI18" s="86"/>
    </row>
    <row r="19" spans="1:35">
      <c r="A19" s="112" t="s">
        <v>177</v>
      </c>
      <c r="B19">
        <v>2021</v>
      </c>
      <c r="D19" s="115"/>
      <c r="E19" t="s">
        <v>138</v>
      </c>
      <c r="F19" t="s">
        <v>428</v>
      </c>
      <c r="I19" s="86"/>
      <c r="K19" s="112" t="s">
        <v>11</v>
      </c>
      <c r="L19" s="14"/>
      <c r="M19" s="14"/>
      <c r="N19" s="14"/>
      <c r="O19">
        <v>2022</v>
      </c>
      <c r="P19" s="14">
        <v>1600</v>
      </c>
      <c r="Q19" t="s">
        <v>138</v>
      </c>
      <c r="R19" t="s">
        <v>143</v>
      </c>
      <c r="U19" s="86"/>
      <c r="W19" s="112" t="s">
        <v>146</v>
      </c>
      <c r="X19">
        <v>2022</v>
      </c>
      <c r="Y19" s="14">
        <v>69</v>
      </c>
      <c r="Z19" t="s">
        <v>175</v>
      </c>
      <c r="AA19">
        <f t="shared" si="0"/>
        <v>69000</v>
      </c>
      <c r="AB19" t="s">
        <v>143</v>
      </c>
      <c r="AI19" s="86"/>
    </row>
    <row r="20" spans="1:35">
      <c r="A20" s="112" t="s">
        <v>133</v>
      </c>
      <c r="B20">
        <v>2022</v>
      </c>
      <c r="D20" s="113">
        <v>480</v>
      </c>
      <c r="E20" t="s">
        <v>138</v>
      </c>
      <c r="F20" t="s">
        <v>143</v>
      </c>
      <c r="I20" s="86"/>
      <c r="K20" s="112" t="s">
        <v>11</v>
      </c>
      <c r="L20" s="14"/>
      <c r="M20" s="14"/>
      <c r="N20" s="14"/>
      <c r="O20">
        <v>2021</v>
      </c>
      <c r="P20" s="14">
        <v>1119</v>
      </c>
      <c r="Q20" t="s">
        <v>138</v>
      </c>
      <c r="R20" t="s">
        <v>428</v>
      </c>
      <c r="S20" t="s">
        <v>454</v>
      </c>
      <c r="U20" s="86"/>
      <c r="W20" s="112" t="s">
        <v>147</v>
      </c>
      <c r="X20">
        <v>2022</v>
      </c>
      <c r="Y20" s="14">
        <v>17</v>
      </c>
      <c r="Z20" t="s">
        <v>175</v>
      </c>
      <c r="AA20">
        <f t="shared" si="0"/>
        <v>17000</v>
      </c>
      <c r="AB20" t="s">
        <v>143</v>
      </c>
      <c r="AI20" s="86"/>
    </row>
    <row r="21" spans="1:35">
      <c r="A21" s="112" t="s">
        <v>11</v>
      </c>
      <c r="B21">
        <v>2021</v>
      </c>
      <c r="D21" s="113">
        <v>30</v>
      </c>
      <c r="E21" t="s">
        <v>138</v>
      </c>
      <c r="F21" t="s">
        <v>428</v>
      </c>
      <c r="I21" s="86"/>
      <c r="K21" s="112" t="s">
        <v>134</v>
      </c>
      <c r="L21" s="14"/>
      <c r="M21" s="14"/>
      <c r="N21" s="14"/>
      <c r="O21">
        <v>2022</v>
      </c>
      <c r="P21" s="14">
        <v>510</v>
      </c>
      <c r="Q21" t="s">
        <v>138</v>
      </c>
      <c r="R21" t="s">
        <v>143</v>
      </c>
      <c r="U21" s="86"/>
      <c r="W21" s="112" t="s">
        <v>160</v>
      </c>
      <c r="X21">
        <v>2022</v>
      </c>
      <c r="Y21" s="14">
        <v>230</v>
      </c>
      <c r="Z21" t="s">
        <v>175</v>
      </c>
      <c r="AA21">
        <f t="shared" si="0"/>
        <v>230000</v>
      </c>
      <c r="AB21" t="s">
        <v>143</v>
      </c>
      <c r="AI21" s="86"/>
    </row>
    <row r="22" spans="1:35">
      <c r="A22" s="112" t="s">
        <v>134</v>
      </c>
      <c r="B22">
        <v>2022</v>
      </c>
      <c r="D22" s="113">
        <v>1400</v>
      </c>
      <c r="E22" t="s">
        <v>138</v>
      </c>
      <c r="F22" t="s">
        <v>143</v>
      </c>
      <c r="I22" s="86"/>
      <c r="K22" s="112" t="s">
        <v>146</v>
      </c>
      <c r="L22" s="14"/>
      <c r="M22" s="14"/>
      <c r="N22" s="14"/>
      <c r="O22">
        <v>2022</v>
      </c>
      <c r="P22" s="14">
        <v>660</v>
      </c>
      <c r="Q22" t="s">
        <v>138</v>
      </c>
      <c r="R22" t="s">
        <v>143</v>
      </c>
      <c r="U22" s="86"/>
      <c r="W22" s="112" t="s">
        <v>117</v>
      </c>
      <c r="X22">
        <v>2022</v>
      </c>
      <c r="Y22" s="14">
        <v>71</v>
      </c>
      <c r="Z22" t="s">
        <v>175</v>
      </c>
      <c r="AA22">
        <f t="shared" si="0"/>
        <v>71000</v>
      </c>
      <c r="AB22" t="s">
        <v>143</v>
      </c>
      <c r="AI22" s="86"/>
    </row>
    <row r="23" spans="1:35">
      <c r="A23" s="112" t="s">
        <v>117</v>
      </c>
      <c r="B23">
        <v>2022</v>
      </c>
      <c r="D23" s="113">
        <v>3100</v>
      </c>
      <c r="E23" t="s">
        <v>138</v>
      </c>
      <c r="F23" t="s">
        <v>143</v>
      </c>
      <c r="I23" s="86"/>
      <c r="K23" s="112" t="s">
        <v>147</v>
      </c>
      <c r="L23" s="14"/>
      <c r="M23" s="14"/>
      <c r="N23" s="14"/>
      <c r="O23">
        <v>2022</v>
      </c>
      <c r="P23" s="14">
        <v>470</v>
      </c>
      <c r="Q23" t="s">
        <v>138</v>
      </c>
      <c r="R23" t="s">
        <v>143</v>
      </c>
      <c r="U23" s="86"/>
      <c r="W23" s="112" t="s">
        <v>444</v>
      </c>
      <c r="X23">
        <v>2021</v>
      </c>
      <c r="Y23" s="14">
        <v>70.555999999999997</v>
      </c>
      <c r="Z23" t="s">
        <v>175</v>
      </c>
      <c r="AA23">
        <f t="shared" si="0"/>
        <v>70556</v>
      </c>
      <c r="AB23" t="s">
        <v>445</v>
      </c>
      <c r="AC23" t="s">
        <v>488</v>
      </c>
      <c r="AI23" s="86"/>
    </row>
    <row r="24" spans="1:35">
      <c r="A24" s="112" t="s">
        <v>118</v>
      </c>
      <c r="B24">
        <v>2022</v>
      </c>
      <c r="D24" s="113">
        <v>2000</v>
      </c>
      <c r="E24" t="s">
        <v>138</v>
      </c>
      <c r="F24" t="s">
        <v>143</v>
      </c>
      <c r="I24" s="86"/>
      <c r="K24" s="112" t="s">
        <v>148</v>
      </c>
      <c r="L24" s="14"/>
      <c r="M24" s="14"/>
      <c r="N24" s="14"/>
      <c r="O24">
        <v>2022</v>
      </c>
      <c r="P24" s="14">
        <v>290</v>
      </c>
      <c r="Q24" t="s">
        <v>138</v>
      </c>
      <c r="R24" t="s">
        <v>143</v>
      </c>
      <c r="U24" s="86"/>
      <c r="W24" s="112" t="s">
        <v>178</v>
      </c>
      <c r="X24">
        <v>2022</v>
      </c>
      <c r="Y24" s="14">
        <v>23</v>
      </c>
      <c r="Z24" t="s">
        <v>175</v>
      </c>
      <c r="AA24">
        <f t="shared" si="0"/>
        <v>23000</v>
      </c>
      <c r="AB24" t="s">
        <v>143</v>
      </c>
      <c r="AI24" s="86"/>
    </row>
    <row r="25" spans="1:35">
      <c r="A25" s="112" t="s">
        <v>119</v>
      </c>
      <c r="B25">
        <v>2022</v>
      </c>
      <c r="D25" s="113">
        <v>1700</v>
      </c>
      <c r="E25" t="s">
        <v>138</v>
      </c>
      <c r="F25" t="s">
        <v>143</v>
      </c>
      <c r="I25" s="86"/>
      <c r="K25" s="112" t="s">
        <v>149</v>
      </c>
      <c r="L25" s="14"/>
      <c r="M25" s="14"/>
      <c r="N25" s="14"/>
      <c r="O25">
        <v>2022</v>
      </c>
      <c r="P25" s="14">
        <v>590</v>
      </c>
      <c r="Q25" t="s">
        <v>138</v>
      </c>
      <c r="R25" t="s">
        <v>143</v>
      </c>
      <c r="U25" s="86"/>
      <c r="W25" s="112" t="s">
        <v>168</v>
      </c>
      <c r="X25">
        <v>2022</v>
      </c>
      <c r="Y25" s="14">
        <v>39</v>
      </c>
      <c r="Z25" t="s">
        <v>175</v>
      </c>
      <c r="AA25">
        <f t="shared" si="0"/>
        <v>39000</v>
      </c>
      <c r="AB25" t="s">
        <v>143</v>
      </c>
      <c r="AI25" s="86"/>
    </row>
    <row r="26" spans="1:35">
      <c r="A26" s="112" t="s">
        <v>135</v>
      </c>
      <c r="B26">
        <v>2022</v>
      </c>
      <c r="D26" s="113">
        <v>740</v>
      </c>
      <c r="E26" t="s">
        <v>138</v>
      </c>
      <c r="F26" t="s">
        <v>143</v>
      </c>
      <c r="I26" s="86"/>
      <c r="K26" s="112" t="s">
        <v>117</v>
      </c>
      <c r="L26" s="14"/>
      <c r="M26" s="14"/>
      <c r="N26" s="14"/>
      <c r="O26">
        <v>2022</v>
      </c>
      <c r="P26" s="14">
        <v>1100</v>
      </c>
      <c r="Q26" t="s">
        <v>138</v>
      </c>
      <c r="R26" t="s">
        <v>143</v>
      </c>
      <c r="U26" s="86"/>
      <c r="W26" s="112" t="s">
        <v>135</v>
      </c>
      <c r="X26">
        <v>2022</v>
      </c>
      <c r="Y26" s="14">
        <v>19</v>
      </c>
      <c r="Z26" t="s">
        <v>175</v>
      </c>
      <c r="AA26">
        <f t="shared" si="0"/>
        <v>19000</v>
      </c>
      <c r="AB26" t="s">
        <v>143</v>
      </c>
      <c r="AI26" s="86"/>
    </row>
    <row r="27" spans="1:35">
      <c r="A27" s="112" t="s">
        <v>136</v>
      </c>
      <c r="B27">
        <v>2022</v>
      </c>
      <c r="D27" s="113">
        <v>2300</v>
      </c>
      <c r="E27" t="s">
        <v>138</v>
      </c>
      <c r="F27" t="s">
        <v>143</v>
      </c>
      <c r="I27" s="86"/>
      <c r="K27" s="112" t="s">
        <v>107</v>
      </c>
      <c r="L27" s="14"/>
      <c r="M27" s="14"/>
      <c r="N27" s="14"/>
      <c r="O27">
        <v>2022</v>
      </c>
      <c r="P27" s="14">
        <v>1000</v>
      </c>
      <c r="Q27" t="s">
        <v>138</v>
      </c>
      <c r="R27" t="s">
        <v>143</v>
      </c>
      <c r="U27" s="86"/>
      <c r="W27" s="112" t="s">
        <v>107</v>
      </c>
      <c r="X27">
        <v>2022</v>
      </c>
      <c r="Y27" s="14">
        <v>82</v>
      </c>
      <c r="Z27" t="s">
        <v>175</v>
      </c>
      <c r="AA27">
        <f t="shared" si="0"/>
        <v>82000</v>
      </c>
      <c r="AB27" t="s">
        <v>143</v>
      </c>
      <c r="AC27" s="114" t="s">
        <v>483</v>
      </c>
      <c r="AI27" s="86"/>
    </row>
    <row r="28" spans="1:35">
      <c r="A28" s="112" t="s">
        <v>107</v>
      </c>
      <c r="B28">
        <v>2022</v>
      </c>
      <c r="D28" s="113">
        <v>1200</v>
      </c>
      <c r="E28" t="s">
        <v>138</v>
      </c>
      <c r="F28" t="s">
        <v>143</v>
      </c>
      <c r="G28" t="s">
        <v>478</v>
      </c>
      <c r="I28" s="86"/>
      <c r="K28" s="112" t="s">
        <v>150</v>
      </c>
      <c r="L28" s="14"/>
      <c r="M28" s="14"/>
      <c r="N28" s="14"/>
      <c r="O28">
        <v>2022</v>
      </c>
      <c r="P28" s="14">
        <v>350</v>
      </c>
      <c r="Q28" t="s">
        <v>138</v>
      </c>
      <c r="R28" t="s">
        <v>143</v>
      </c>
      <c r="U28" s="86"/>
      <c r="W28" s="112" t="s">
        <v>137</v>
      </c>
      <c r="X28">
        <v>2022</v>
      </c>
      <c r="Y28" s="14">
        <v>23</v>
      </c>
      <c r="Z28" t="s">
        <v>175</v>
      </c>
      <c r="AA28">
        <f t="shared" si="0"/>
        <v>23000</v>
      </c>
      <c r="AB28" t="s">
        <v>143</v>
      </c>
      <c r="AI28" s="86"/>
    </row>
    <row r="29" spans="1:35">
      <c r="A29" s="112" t="s">
        <v>137</v>
      </c>
      <c r="B29">
        <v>2022</v>
      </c>
      <c r="D29" s="113">
        <v>1500</v>
      </c>
      <c r="E29" t="s">
        <v>138</v>
      </c>
      <c r="F29" t="s">
        <v>143</v>
      </c>
      <c r="I29" s="86"/>
      <c r="K29" s="112" t="s">
        <v>242</v>
      </c>
      <c r="L29" s="14"/>
      <c r="M29" s="14"/>
      <c r="N29" s="14"/>
      <c r="O29">
        <v>2022</v>
      </c>
      <c r="P29" s="14">
        <v>26000</v>
      </c>
      <c r="Q29" t="s">
        <v>138</v>
      </c>
      <c r="R29" t="s">
        <v>143</v>
      </c>
      <c r="S29" t="s">
        <v>687</v>
      </c>
      <c r="U29" s="86"/>
      <c r="W29" s="112" t="s">
        <v>161</v>
      </c>
      <c r="X29">
        <v>2022</v>
      </c>
      <c r="Y29" s="14">
        <v>1900</v>
      </c>
      <c r="Z29" t="s">
        <v>175</v>
      </c>
      <c r="AA29">
        <f t="shared" si="0"/>
        <v>1900000</v>
      </c>
      <c r="AB29" t="s">
        <v>143</v>
      </c>
      <c r="AC29" t="s">
        <v>485</v>
      </c>
      <c r="AI29" s="86"/>
    </row>
    <row r="30" spans="1:35" ht="17" customHeight="1">
      <c r="A30" s="112" t="s">
        <v>561</v>
      </c>
      <c r="B30">
        <v>2022</v>
      </c>
      <c r="D30" s="113">
        <v>68400</v>
      </c>
      <c r="E30" t="s">
        <v>138</v>
      </c>
      <c r="F30" t="s">
        <v>560</v>
      </c>
      <c r="G30" t="s">
        <v>482</v>
      </c>
      <c r="I30" s="86"/>
      <c r="K30" s="84"/>
      <c r="U30" s="86"/>
      <c r="W30" s="84"/>
      <c r="AI30" s="86"/>
    </row>
    <row r="31" spans="1:35" ht="17" customHeight="1">
      <c r="A31" s="112" t="s">
        <v>480</v>
      </c>
      <c r="G31" t="s">
        <v>481</v>
      </c>
      <c r="I31" s="86"/>
      <c r="K31" s="84"/>
      <c r="U31" s="86"/>
      <c r="W31" s="122" t="s">
        <v>484</v>
      </c>
      <c r="AI31" s="86"/>
    </row>
    <row r="32" spans="1:35" ht="17" customHeight="1">
      <c r="A32" s="112"/>
      <c r="I32" s="86"/>
      <c r="K32" s="84"/>
      <c r="U32" s="86"/>
      <c r="W32" s="84"/>
      <c r="AI32" s="86"/>
    </row>
    <row r="33" spans="1:35" ht="17" customHeight="1">
      <c r="A33" s="112"/>
      <c r="I33" s="86"/>
      <c r="K33" s="84"/>
      <c r="U33" s="86"/>
      <c r="W33" s="84" t="s">
        <v>747</v>
      </c>
      <c r="X33" t="s">
        <v>755</v>
      </c>
      <c r="AB33" s="16" t="s">
        <v>459</v>
      </c>
      <c r="AD33" s="16" t="s">
        <v>451</v>
      </c>
      <c r="AE33" t="s">
        <v>748</v>
      </c>
      <c r="AF33" t="s">
        <v>750</v>
      </c>
      <c r="AG33" t="s">
        <v>749</v>
      </c>
      <c r="AI33" s="86"/>
    </row>
    <row r="34" spans="1:35">
      <c r="A34" s="116" t="s">
        <v>139</v>
      </c>
      <c r="B34" s="16" t="s">
        <v>128</v>
      </c>
      <c r="C34" t="s">
        <v>665</v>
      </c>
      <c r="D34" s="16" t="s">
        <v>562</v>
      </c>
      <c r="E34" s="16" t="s">
        <v>458</v>
      </c>
      <c r="F34" s="16" t="s">
        <v>915</v>
      </c>
      <c r="G34" s="16"/>
      <c r="H34" s="16"/>
      <c r="I34" s="86"/>
      <c r="K34" s="84" t="s">
        <v>747</v>
      </c>
      <c r="L34" s="16" t="s">
        <v>37</v>
      </c>
      <c r="M34" s="16" t="s">
        <v>460</v>
      </c>
      <c r="N34" t="s">
        <v>916</v>
      </c>
      <c r="O34" t="s">
        <v>917</v>
      </c>
      <c r="P34" t="s">
        <v>918</v>
      </c>
      <c r="Q34" t="s">
        <v>919</v>
      </c>
      <c r="U34" s="86"/>
      <c r="W34" s="88" t="s">
        <v>540</v>
      </c>
      <c r="X34">
        <v>495.59999999999997</v>
      </c>
      <c r="AA34" t="s">
        <v>617</v>
      </c>
      <c r="AB34" s="12">
        <v>5.8079999999999998</v>
      </c>
      <c r="AC34" t="s">
        <v>175</v>
      </c>
      <c r="AD34">
        <v>1.91</v>
      </c>
      <c r="AE34" s="87">
        <v>0</v>
      </c>
      <c r="AH34" s="135">
        <f>X34/8760</f>
        <v>5.6575342465753423E-2</v>
      </c>
      <c r="AI34" s="86"/>
    </row>
    <row r="35" spans="1:35" ht="17">
      <c r="A35" s="112" t="s">
        <v>105</v>
      </c>
      <c r="B35" s="14">
        <v>1500</v>
      </c>
      <c r="C35">
        <f>1922*0.84</f>
        <v>1614.48</v>
      </c>
      <c r="D35" s="14">
        <v>1700</v>
      </c>
      <c r="E35">
        <v>11.5</v>
      </c>
      <c r="G35">
        <f>C35/8760</f>
        <v>0.18430136986301371</v>
      </c>
      <c r="H35" t="s">
        <v>621</v>
      </c>
      <c r="I35" s="86"/>
      <c r="K35" s="88" t="s">
        <v>540</v>
      </c>
      <c r="L35" s="14">
        <v>380</v>
      </c>
      <c r="M35" s="120">
        <v>3.44</v>
      </c>
      <c r="O35" s="49">
        <f>($D$73)*('Allocation OPEX CAPEX'!L10*P35+'Allocation OPEX CAPEX'!L25*Q35+(1-Q35-P35))</f>
        <v>319.34883785506537</v>
      </c>
      <c r="P35" s="26">
        <v>0.5</v>
      </c>
      <c r="Q35" s="87">
        <v>0.3</v>
      </c>
      <c r="R35">
        <f>O35/8760</f>
        <v>3.645534678710792E-2</v>
      </c>
      <c r="U35" s="86"/>
      <c r="W35" s="88" t="s">
        <v>541</v>
      </c>
      <c r="X35">
        <f>590*0.84</f>
        <v>495.59999999999997</v>
      </c>
      <c r="Z35" s="114" t="s">
        <v>783</v>
      </c>
      <c r="AA35" t="s">
        <v>617</v>
      </c>
      <c r="AB35" s="12">
        <f>Y8</f>
        <v>7.8840000000000003</v>
      </c>
      <c r="AC35" t="s">
        <v>175</v>
      </c>
      <c r="AD35">
        <v>1.1499999999999999</v>
      </c>
      <c r="AE35" s="87">
        <f>AE43</f>
        <v>-3.9E-2</v>
      </c>
      <c r="AH35" s="135">
        <f t="shared" ref="AH35:AH45" si="1">X35/8760</f>
        <v>5.6575342465753423E-2</v>
      </c>
      <c r="AI35" s="86"/>
    </row>
    <row r="36" spans="1:35">
      <c r="A36" s="112" t="s">
        <v>368</v>
      </c>
      <c r="B36" s="14">
        <v>491</v>
      </c>
      <c r="C36">
        <f t="shared" ref="C36" si="2">2041*0.84</f>
        <v>1714.4399999999998</v>
      </c>
      <c r="D36" s="14"/>
      <c r="E36">
        <v>5.6</v>
      </c>
      <c r="G36">
        <f t="shared" ref="G36:G46" si="3">C36/8760</f>
        <v>0.19571232876712327</v>
      </c>
      <c r="I36" s="86"/>
      <c r="K36" s="88" t="s">
        <v>541</v>
      </c>
      <c r="L36" s="14">
        <v>133</v>
      </c>
      <c r="M36">
        <v>2.77</v>
      </c>
      <c r="O36" s="49">
        <f>($D$73)*('Allocation OPEX CAPEX'!L11*P36+'Allocation OPEX CAPEX'!L26*Q36+(1-Q36-P36))</f>
        <v>352.45594941000826</v>
      </c>
      <c r="P36" s="26">
        <v>0.5</v>
      </c>
      <c r="Q36" s="87">
        <v>0.3</v>
      </c>
      <c r="R36">
        <f t="shared" ref="R36:R45" si="4">O36/8760</f>
        <v>4.0234697421233818E-2</v>
      </c>
      <c r="U36" s="86"/>
      <c r="W36" s="88" t="s">
        <v>542</v>
      </c>
      <c r="X36">
        <f>504*0.84</f>
        <v>423.35999999999996</v>
      </c>
      <c r="Y36">
        <v>2024</v>
      </c>
      <c r="Z36" s="114" t="s">
        <v>784</v>
      </c>
      <c r="AA36" t="s">
        <v>617</v>
      </c>
      <c r="AB36" s="12">
        <f>Y9</f>
        <v>33</v>
      </c>
      <c r="AC36" t="s">
        <v>175</v>
      </c>
      <c r="AD36">
        <v>1.55</v>
      </c>
      <c r="AE36" s="87">
        <v>-5.0999999999999997E-2</v>
      </c>
      <c r="AH36" s="135">
        <f t="shared" si="1"/>
        <v>4.8328767123287666E-2</v>
      </c>
      <c r="AI36" s="86"/>
    </row>
    <row r="37" spans="1:35" ht="17">
      <c r="A37" s="112" t="s">
        <v>108</v>
      </c>
      <c r="B37" s="14">
        <v>811</v>
      </c>
      <c r="C37">
        <f>C45</f>
        <v>1667.1479999999997</v>
      </c>
      <c r="D37" s="14"/>
      <c r="E37">
        <v>5.5</v>
      </c>
      <c r="G37">
        <f t="shared" si="3"/>
        <v>0.19031369863013695</v>
      </c>
      <c r="I37" s="86"/>
      <c r="K37" s="88" t="s">
        <v>542</v>
      </c>
      <c r="L37" s="14">
        <v>133.5</v>
      </c>
      <c r="M37" s="120">
        <v>3.44</v>
      </c>
      <c r="O37" s="49">
        <f>($D$73)*('Allocation OPEX CAPEX'!L12*P37+'Allocation OPEX CAPEX'!L27*Q37+(1-Q37-P37))</f>
        <v>175.50010586766558</v>
      </c>
      <c r="P37" s="26">
        <v>0.3</v>
      </c>
      <c r="Q37" s="87">
        <v>0.3</v>
      </c>
      <c r="R37">
        <f t="shared" si="4"/>
        <v>2.0034258660692417E-2</v>
      </c>
      <c r="U37" s="86"/>
      <c r="W37" s="88" t="s">
        <v>539</v>
      </c>
      <c r="X37">
        <f>570*0.84</f>
        <v>478.79999999999995</v>
      </c>
      <c r="Y37">
        <v>2022</v>
      </c>
      <c r="Z37" s="114" t="s">
        <v>783</v>
      </c>
      <c r="AA37" t="s">
        <v>617</v>
      </c>
      <c r="AB37" s="12">
        <f>Y10</f>
        <v>990</v>
      </c>
      <c r="AC37" t="s">
        <v>175</v>
      </c>
      <c r="AD37">
        <v>1.7</v>
      </c>
      <c r="AE37" s="87">
        <v>1.7000000000000001E-2</v>
      </c>
      <c r="AH37" s="135">
        <f t="shared" si="1"/>
        <v>5.4657534246575337E-2</v>
      </c>
      <c r="AI37" s="86"/>
    </row>
    <row r="38" spans="1:35">
      <c r="A38" s="112" t="s">
        <v>330</v>
      </c>
      <c r="B38" s="14">
        <v>40000</v>
      </c>
      <c r="C38">
        <f>1932*0.84</f>
        <v>1622.8799999999999</v>
      </c>
      <c r="D38" s="14">
        <v>44000</v>
      </c>
      <c r="E38">
        <v>12.75</v>
      </c>
      <c r="G38">
        <f t="shared" si="3"/>
        <v>0.18526027397260272</v>
      </c>
      <c r="I38" s="86"/>
      <c r="K38" s="88" t="s">
        <v>539</v>
      </c>
      <c r="L38" s="14">
        <v>11000</v>
      </c>
      <c r="M38">
        <v>1.98</v>
      </c>
      <c r="N38">
        <f>D72</f>
        <v>203</v>
      </c>
      <c r="O38" s="49">
        <f>($D$73)*('Allocation OPEX CAPEX'!L13*P38+'Allocation OPEX CAPEX'!L28*Q38+(1-Q38-P38))</f>
        <v>167.5332774014411</v>
      </c>
      <c r="P38" s="26">
        <v>0.3</v>
      </c>
      <c r="Q38" s="87">
        <v>0.3</v>
      </c>
      <c r="R38">
        <f t="shared" si="4"/>
        <v>1.9124803356328893E-2</v>
      </c>
      <c r="U38" s="86"/>
      <c r="W38" s="88" t="s">
        <v>543</v>
      </c>
      <c r="X38">
        <f>590*0.84</f>
        <v>495.59999999999997</v>
      </c>
      <c r="Y38">
        <v>2022</v>
      </c>
      <c r="Z38" s="114" t="s">
        <v>783</v>
      </c>
      <c r="AA38" t="s">
        <v>617</v>
      </c>
      <c r="AB38" s="12">
        <f>Y11</f>
        <v>4.8170000000000002</v>
      </c>
      <c r="AC38" t="s">
        <v>175</v>
      </c>
      <c r="AD38">
        <v>1.1499999999999999</v>
      </c>
      <c r="AE38" s="87">
        <f>$AE$43</f>
        <v>-3.9E-2</v>
      </c>
      <c r="AH38" s="135">
        <f t="shared" si="1"/>
        <v>5.6575342465753423E-2</v>
      </c>
      <c r="AI38" s="86"/>
    </row>
    <row r="39" spans="1:35">
      <c r="A39" s="112" t="s">
        <v>366</v>
      </c>
      <c r="B39" s="14">
        <v>60</v>
      </c>
      <c r="C39">
        <f>2041*0.84</f>
        <v>1714.4399999999998</v>
      </c>
      <c r="D39" s="14"/>
      <c r="E39">
        <v>5.6</v>
      </c>
      <c r="G39">
        <f t="shared" si="3"/>
        <v>0.19571232876712327</v>
      </c>
      <c r="I39" s="86"/>
      <c r="K39" s="88" t="s">
        <v>543</v>
      </c>
      <c r="L39" s="14">
        <v>0</v>
      </c>
      <c r="M39">
        <v>2.77</v>
      </c>
      <c r="N39">
        <f>$D$71</f>
        <v>324</v>
      </c>
      <c r="O39" s="49">
        <f>($D$73)*('Allocation OPEX CAPEX'!L14*P39+'Allocation OPEX CAPEX'!L29*Q39+(1-Q39-P39))</f>
        <v>246.11442110222529</v>
      </c>
      <c r="P39" s="26">
        <f>0.3</f>
        <v>0.3</v>
      </c>
      <c r="Q39" s="87">
        <v>0.3</v>
      </c>
      <c r="R39">
        <f t="shared" si="4"/>
        <v>2.8095253550482341E-2</v>
      </c>
      <c r="U39" s="86"/>
      <c r="W39" s="88" t="s">
        <v>544</v>
      </c>
      <c r="X39">
        <f t="shared" ref="X39:X40" si="5">590*0.84</f>
        <v>495.59999999999997</v>
      </c>
      <c r="Y39">
        <v>2022</v>
      </c>
      <c r="Z39" s="114" t="s">
        <v>783</v>
      </c>
      <c r="AA39" t="s">
        <v>617</v>
      </c>
      <c r="AB39" s="12">
        <f>Y13</f>
        <v>38</v>
      </c>
      <c r="AC39" t="s">
        <v>175</v>
      </c>
      <c r="AD39">
        <v>1.708</v>
      </c>
      <c r="AE39" s="87">
        <f>$AE$43</f>
        <v>-3.9E-2</v>
      </c>
      <c r="AH39" s="135">
        <f t="shared" si="1"/>
        <v>5.6575342465753423E-2</v>
      </c>
      <c r="AI39" s="86"/>
    </row>
    <row r="40" spans="1:35">
      <c r="A40" s="112" t="s">
        <v>110</v>
      </c>
      <c r="B40" s="14">
        <v>550</v>
      </c>
      <c r="C40">
        <f t="shared" ref="C40:C41" si="6">2041*0.84</f>
        <v>1714.4399999999998</v>
      </c>
      <c r="D40" s="14">
        <v>750</v>
      </c>
      <c r="E40">
        <v>5.6</v>
      </c>
      <c r="G40">
        <f t="shared" si="3"/>
        <v>0.19571232876712327</v>
      </c>
      <c r="I40" s="86"/>
      <c r="K40" s="88" t="s">
        <v>544</v>
      </c>
      <c r="L40" s="14">
        <v>620</v>
      </c>
      <c r="M40">
        <v>2.77</v>
      </c>
      <c r="N40">
        <f>$D$71</f>
        <v>324</v>
      </c>
      <c r="O40" s="49">
        <f>($D$73)*('Allocation OPEX CAPEX'!L15*P40+'Allocation OPEX CAPEX'!L30*Q40+(1-Q40-P40))</f>
        <v>371.43545447553311</v>
      </c>
      <c r="P40" s="26">
        <v>0.5</v>
      </c>
      <c r="Q40" s="87">
        <v>0.3</v>
      </c>
      <c r="R40">
        <f t="shared" si="4"/>
        <v>4.2401307588531174E-2</v>
      </c>
      <c r="U40" s="86"/>
      <c r="W40" s="88" t="s">
        <v>545</v>
      </c>
      <c r="X40">
        <f t="shared" si="5"/>
        <v>495.59999999999997</v>
      </c>
      <c r="Y40">
        <v>2022</v>
      </c>
      <c r="Z40" s="114" t="s">
        <v>783</v>
      </c>
      <c r="AA40" t="s">
        <v>617</v>
      </c>
      <c r="AB40" s="12">
        <f>Y16</f>
        <v>24</v>
      </c>
      <c r="AC40" t="s">
        <v>175</v>
      </c>
      <c r="AD40">
        <v>0.6</v>
      </c>
      <c r="AE40" s="87">
        <f>$AE$43</f>
        <v>-3.9E-2</v>
      </c>
      <c r="AH40" s="135">
        <f t="shared" si="1"/>
        <v>5.6575342465753423E-2</v>
      </c>
      <c r="AI40" s="86"/>
    </row>
    <row r="41" spans="1:35">
      <c r="A41" s="112" t="s">
        <v>177</v>
      </c>
      <c r="B41" s="14">
        <v>0</v>
      </c>
      <c r="C41">
        <f t="shared" si="6"/>
        <v>1714.4399999999998</v>
      </c>
      <c r="D41" s="14"/>
      <c r="E41">
        <v>5.6</v>
      </c>
      <c r="G41">
        <f t="shared" si="3"/>
        <v>0.19571232876712327</v>
      </c>
      <c r="I41" s="86"/>
      <c r="K41" s="88" t="s">
        <v>545</v>
      </c>
      <c r="L41" s="14">
        <v>15.4</v>
      </c>
      <c r="M41">
        <v>2.77</v>
      </c>
      <c r="N41">
        <f>$D$71</f>
        <v>324</v>
      </c>
      <c r="O41" s="49">
        <f>($D$73)*('Allocation OPEX CAPEX'!L16*P41+'Allocation OPEX CAPEX'!L31*Q41+(1-Q41-P41))</f>
        <v>348.35837579616287</v>
      </c>
      <c r="P41" s="26">
        <v>0.5</v>
      </c>
      <c r="Q41" s="87">
        <v>0.3</v>
      </c>
      <c r="R41">
        <f t="shared" si="4"/>
        <v>3.9766937876274298E-2</v>
      </c>
      <c r="U41" s="86"/>
      <c r="W41" s="88" t="s">
        <v>546</v>
      </c>
      <c r="X41">
        <f>620*0.84</f>
        <v>520.79999999999995</v>
      </c>
      <c r="Y41">
        <v>2022</v>
      </c>
      <c r="Z41" s="114" t="s">
        <v>783</v>
      </c>
      <c r="AA41" t="s">
        <v>617</v>
      </c>
      <c r="AB41" s="12">
        <f>Y18</f>
        <v>97</v>
      </c>
      <c r="AC41" t="s">
        <v>175</v>
      </c>
      <c r="AD41">
        <v>1.65</v>
      </c>
      <c r="AE41" s="87">
        <v>2.1000000000000001E-2</v>
      </c>
      <c r="AH41" s="135">
        <f t="shared" si="1"/>
        <v>5.9452054794520544E-2</v>
      </c>
      <c r="AI41" s="86"/>
    </row>
    <row r="42" spans="1:35" ht="17" customHeight="1">
      <c r="A42" s="112" t="s">
        <v>303</v>
      </c>
      <c r="B42" s="14">
        <v>30</v>
      </c>
      <c r="C42">
        <f>C35</f>
        <v>1614.48</v>
      </c>
      <c r="D42" s="14"/>
      <c r="E42">
        <v>12.6</v>
      </c>
      <c r="G42">
        <f t="shared" si="3"/>
        <v>0.18430136986301371</v>
      </c>
      <c r="I42" s="86"/>
      <c r="K42" s="88" t="s">
        <v>546</v>
      </c>
      <c r="L42" s="14">
        <v>1119</v>
      </c>
      <c r="M42">
        <v>0.92</v>
      </c>
      <c r="O42" s="49">
        <f>($D$73)*('Allocation OPEX CAPEX'!L17*P42+'Allocation OPEX CAPEX'!L32*Q42+(1-Q42-P42))</f>
        <v>247.1996575845493</v>
      </c>
      <c r="P42" s="26">
        <v>0.5</v>
      </c>
      <c r="Q42" s="87">
        <v>0.3</v>
      </c>
      <c r="R42">
        <f t="shared" si="4"/>
        <v>2.8219138993670012E-2</v>
      </c>
      <c r="U42" s="86"/>
      <c r="W42" s="88" t="s">
        <v>547</v>
      </c>
      <c r="X42">
        <f>605*0.84</f>
        <v>508.2</v>
      </c>
      <c r="Y42">
        <v>2024</v>
      </c>
      <c r="Z42" s="114" t="s">
        <v>782</v>
      </c>
      <c r="AA42" t="s">
        <v>617</v>
      </c>
      <c r="AB42" s="12">
        <f>Y19</f>
        <v>69</v>
      </c>
      <c r="AC42" t="s">
        <v>175</v>
      </c>
      <c r="AD42">
        <v>1.5</v>
      </c>
      <c r="AE42" s="87">
        <v>2.1000000000000001E-2</v>
      </c>
      <c r="AH42" s="135">
        <f t="shared" si="1"/>
        <v>5.8013698630136987E-2</v>
      </c>
      <c r="AI42" s="86"/>
    </row>
    <row r="43" spans="1:35" ht="17" customHeight="1">
      <c r="A43" s="112" t="s">
        <v>16</v>
      </c>
      <c r="B43" s="14">
        <v>0</v>
      </c>
      <c r="C43">
        <f>C35</f>
        <v>1614.48</v>
      </c>
      <c r="D43" s="14"/>
      <c r="E43">
        <v>11.4</v>
      </c>
      <c r="G43">
        <f t="shared" si="3"/>
        <v>0.18430136986301371</v>
      </c>
      <c r="I43" s="86"/>
      <c r="K43" s="88" t="s">
        <v>547</v>
      </c>
      <c r="L43" s="14">
        <v>660</v>
      </c>
      <c r="M43" s="120">
        <v>3.44</v>
      </c>
      <c r="O43" s="49">
        <f>($D$73)*('Allocation OPEX CAPEX'!L18*P43+'Allocation OPEX CAPEX'!L33*Q43+(1-Q43-P43))</f>
        <v>202.96369755318639</v>
      </c>
      <c r="P43" s="26">
        <v>0.5</v>
      </c>
      <c r="Q43" s="87">
        <v>0.3</v>
      </c>
      <c r="R43">
        <f t="shared" si="4"/>
        <v>2.31693718668021E-2</v>
      </c>
      <c r="U43" s="86"/>
      <c r="W43" s="88" t="s">
        <v>548</v>
      </c>
      <c r="X43">
        <f>590*0.84</f>
        <v>495.59999999999997</v>
      </c>
      <c r="Y43">
        <v>2022</v>
      </c>
      <c r="Z43" s="114" t="s">
        <v>783</v>
      </c>
      <c r="AA43" t="s">
        <v>617</v>
      </c>
      <c r="AB43" s="12">
        <f>Y12-SUM(AB38:AB40,AB35)</f>
        <v>224.71799999999996</v>
      </c>
      <c r="AC43" t="s">
        <v>175</v>
      </c>
      <c r="AD43">
        <v>1.1499999999999999</v>
      </c>
      <c r="AE43" s="87">
        <v>-3.9E-2</v>
      </c>
      <c r="AH43" s="135">
        <f t="shared" si="1"/>
        <v>5.6575342465753423E-2</v>
      </c>
      <c r="AI43" s="86"/>
    </row>
    <row r="44" spans="1:35">
      <c r="A44" s="112" t="s">
        <v>456</v>
      </c>
      <c r="B44">
        <f>D13-SUM(B36,B39,B40,B41)</f>
        <v>7488</v>
      </c>
      <c r="C44">
        <f>2041*0.84</f>
        <v>1714.4399999999998</v>
      </c>
      <c r="E44">
        <v>5.6</v>
      </c>
      <c r="G44">
        <f t="shared" si="3"/>
        <v>0.19571232876712327</v>
      </c>
      <c r="I44" s="86"/>
      <c r="K44" s="88" t="s">
        <v>548</v>
      </c>
      <c r="L44">
        <v>2676</v>
      </c>
      <c r="M44">
        <v>2.77</v>
      </c>
      <c r="N44">
        <f>$D$71</f>
        <v>324</v>
      </c>
      <c r="O44" s="49">
        <f>($D$73)*('Allocation OPEX CAPEX'!L19*P44+'Allocation OPEX CAPEX'!L34*Q44+(1-Q44-P44))</f>
        <v>263.83206595442067</v>
      </c>
      <c r="P44" s="26">
        <v>0.3</v>
      </c>
      <c r="Q44" s="87">
        <v>0.3</v>
      </c>
      <c r="R44">
        <f t="shared" si="4"/>
        <v>3.0117815748221539E-2</v>
      </c>
      <c r="U44" s="86"/>
      <c r="W44" s="88" t="s">
        <v>449</v>
      </c>
      <c r="X44">
        <f>AVERAGE(X34:X43,X45)</f>
        <v>490.17818181818183</v>
      </c>
      <c r="AA44" t="s">
        <v>617</v>
      </c>
      <c r="AB44" s="12">
        <f>Y29-SUM(AB34:AB43,AB45)</f>
        <v>323.77300000000014</v>
      </c>
      <c r="AC44" t="s">
        <v>175</v>
      </c>
      <c r="AD44">
        <v>1.91</v>
      </c>
      <c r="AE44" s="87">
        <v>2.3E-2</v>
      </c>
      <c r="AH44" s="135">
        <f t="shared" si="1"/>
        <v>5.5956413449564132E-2</v>
      </c>
      <c r="AI44" s="86"/>
    </row>
    <row r="45" spans="1:35" ht="17">
      <c r="A45" s="112" t="s">
        <v>457</v>
      </c>
      <c r="B45">
        <f>D30-SUM(B35:B44,B46:B46)</f>
        <v>16610</v>
      </c>
      <c r="C45">
        <f>AVERAGE(C38:C44,C46,C35:C36)</f>
        <v>1667.1479999999997</v>
      </c>
      <c r="D45">
        <v>28950</v>
      </c>
      <c r="E45">
        <v>12.6</v>
      </c>
      <c r="G45">
        <f t="shared" si="3"/>
        <v>0.19031369863013695</v>
      </c>
      <c r="I45" s="86"/>
      <c r="K45" s="88" t="s">
        <v>449</v>
      </c>
      <c r="L45">
        <v>8278.5</v>
      </c>
      <c r="M45" s="120">
        <v>3.44</v>
      </c>
      <c r="O45" s="49">
        <f>($D$73)*('Allocation OPEX CAPEX'!L20*P45+'Allocation OPEX CAPEX'!L35*Q45+(1-Q45-P45))</f>
        <v>263.5</v>
      </c>
      <c r="P45" s="26">
        <v>0.3</v>
      </c>
      <c r="Q45" s="87">
        <v>0.3</v>
      </c>
      <c r="R45">
        <f t="shared" si="4"/>
        <v>3.0079908675799086E-2</v>
      </c>
      <c r="U45" s="86"/>
      <c r="W45" s="88" t="s">
        <v>214</v>
      </c>
      <c r="X45">
        <f>580*0.84</f>
        <v>487.2</v>
      </c>
      <c r="Z45" s="114" t="s">
        <v>783</v>
      </c>
      <c r="AA45" t="s">
        <v>617</v>
      </c>
      <c r="AB45" s="12">
        <f>Y27</f>
        <v>82</v>
      </c>
      <c r="AC45" t="s">
        <v>175</v>
      </c>
      <c r="AD45">
        <v>0.9</v>
      </c>
      <c r="AE45" s="87">
        <v>3.5000000000000003E-2</v>
      </c>
      <c r="AH45" s="135">
        <f t="shared" si="1"/>
        <v>5.561643835616438E-2</v>
      </c>
      <c r="AI45" s="86"/>
    </row>
    <row r="46" spans="1:35" ht="17">
      <c r="A46" s="112" t="s">
        <v>214</v>
      </c>
      <c r="B46" s="14">
        <v>860</v>
      </c>
      <c r="C46">
        <f>1944*0.84</f>
        <v>1632.96</v>
      </c>
      <c r="D46" s="14">
        <v>1600</v>
      </c>
      <c r="E46">
        <v>9.5</v>
      </c>
      <c r="G46">
        <f t="shared" si="3"/>
        <v>0.18641095890410958</v>
      </c>
      <c r="I46" s="86"/>
      <c r="K46" s="88" t="s">
        <v>214</v>
      </c>
      <c r="L46" s="14">
        <v>1000</v>
      </c>
      <c r="M46" s="120">
        <v>3.44</v>
      </c>
      <c r="O46" s="49">
        <f>($D$73)*('Allocation OPEX CAPEX'!L21*P46+'Allocation OPEX CAPEX'!L36*Q46+(1-Q46-P46))</f>
        <v>300.29783549674858</v>
      </c>
      <c r="P46" s="26">
        <v>0.5</v>
      </c>
      <c r="Q46" s="87">
        <v>0.3</v>
      </c>
      <c r="R46">
        <f>O46/8760</f>
        <v>3.4280574828395957E-2</v>
      </c>
      <c r="U46" s="86"/>
      <c r="W46" s="84"/>
      <c r="AI46" s="86"/>
    </row>
    <row r="47" spans="1:35" ht="17" thickBot="1">
      <c r="A47" s="91"/>
      <c r="B47" s="99"/>
      <c r="C47" s="99"/>
      <c r="D47" s="99"/>
      <c r="E47" s="99"/>
      <c r="F47" s="99"/>
      <c r="G47" s="99"/>
      <c r="H47" s="99"/>
      <c r="I47" s="94"/>
      <c r="K47" s="84"/>
      <c r="U47" s="86"/>
      <c r="W47" s="88" t="s">
        <v>176</v>
      </c>
      <c r="X47" s="1" t="s">
        <v>540</v>
      </c>
      <c r="Y47" s="1" t="s">
        <v>541</v>
      </c>
      <c r="Z47" s="1" t="s">
        <v>542</v>
      </c>
      <c r="AA47" s="1" t="s">
        <v>539</v>
      </c>
      <c r="AB47" s="1" t="s">
        <v>543</v>
      </c>
      <c r="AC47" s="1" t="s">
        <v>544</v>
      </c>
      <c r="AD47" s="1" t="s">
        <v>545</v>
      </c>
      <c r="AE47" s="1" t="s">
        <v>546</v>
      </c>
      <c r="AF47" s="1" t="s">
        <v>547</v>
      </c>
      <c r="AG47" s="1" t="s">
        <v>548</v>
      </c>
      <c r="AH47" s="1" t="s">
        <v>449</v>
      </c>
      <c r="AI47" s="111" t="s">
        <v>214</v>
      </c>
    </row>
    <row r="48" spans="1:35">
      <c r="K48" s="112" t="s">
        <v>139</v>
      </c>
      <c r="L48" t="s">
        <v>463</v>
      </c>
      <c r="N48" t="s">
        <v>141</v>
      </c>
      <c r="O48" t="s">
        <v>129</v>
      </c>
      <c r="P48" t="s">
        <v>466</v>
      </c>
      <c r="Q48" t="s">
        <v>3</v>
      </c>
      <c r="R48" t="s">
        <v>210</v>
      </c>
      <c r="S48" t="s">
        <v>476</v>
      </c>
      <c r="U48" s="86"/>
      <c r="W48" s="84">
        <v>2022</v>
      </c>
      <c r="X48">
        <v>5.8079999999999998</v>
      </c>
      <c r="Y48">
        <v>7.8840000000000003</v>
      </c>
      <c r="Z48">
        <v>33</v>
      </c>
      <c r="AA48">
        <v>990</v>
      </c>
      <c r="AB48">
        <v>4.8170000000000002</v>
      </c>
      <c r="AC48">
        <v>38</v>
      </c>
      <c r="AD48">
        <v>24</v>
      </c>
      <c r="AE48">
        <v>97</v>
      </c>
      <c r="AF48">
        <v>69</v>
      </c>
      <c r="AG48">
        <v>224.71799999999996</v>
      </c>
      <c r="AH48">
        <v>323.77300000000014</v>
      </c>
      <c r="AI48" s="86">
        <v>82</v>
      </c>
    </row>
    <row r="49" spans="1:35">
      <c r="K49" s="112" t="s">
        <v>662</v>
      </c>
      <c r="L49">
        <v>5000</v>
      </c>
      <c r="N49" t="s">
        <v>467</v>
      </c>
      <c r="O49" t="s">
        <v>465</v>
      </c>
      <c r="U49" s="86"/>
      <c r="W49" s="84">
        <v>2023</v>
      </c>
      <c r="X49" s="48">
        <f t="shared" ref="X49:X61" si="7">X$48*(1+$AE$34)^($W49-$W$48)</f>
        <v>5.8079999999999998</v>
      </c>
      <c r="Y49" s="48">
        <f t="shared" ref="Y49:Y61" si="8">Y$48*(1+$AE$35)^($W49-$W$48)</f>
        <v>7.576524</v>
      </c>
      <c r="Z49" s="48">
        <f t="shared" ref="Z49:Z61" si="9">Z$48*(1+$AE$36)^($W49-$W$48)</f>
        <v>31.317</v>
      </c>
      <c r="AA49" s="48">
        <f t="shared" ref="AA49:AA61" si="10">AA$48*(1+$AE$37)^($W49-$W$48)</f>
        <v>1006.8299999999999</v>
      </c>
      <c r="AB49" s="48">
        <f t="shared" ref="AB49:AB61" si="11">AB$48*(1+$AE$38)^($W49-$W$48)</f>
        <v>4.6291370000000001</v>
      </c>
      <c r="AC49" s="48">
        <f t="shared" ref="AC49:AC61" si="12">AC$48*(1+$AE$39)^($W49-$W$48)</f>
        <v>36.518000000000001</v>
      </c>
      <c r="AD49" s="48">
        <f t="shared" ref="AD49:AD61" si="13">AD$48*(1+$AE$40)^($W49-$W$48)</f>
        <v>23.064</v>
      </c>
      <c r="AE49" s="48">
        <f t="shared" ref="AE49:AE61" si="14">AE$48*(1+$AE$41)^($W49-$W$48)</f>
        <v>99.036999999999992</v>
      </c>
      <c r="AF49" s="48">
        <f t="shared" ref="AF49:AF61" si="15">AF$48*(1+$AE$42)^($W49-$W$48)</f>
        <v>70.448999999999998</v>
      </c>
      <c r="AG49" s="48">
        <f t="shared" ref="AG49:AG61" si="16">AG$48*(1+$AE$43)^($W49-$W$48)</f>
        <v>215.95399799999996</v>
      </c>
      <c r="AH49" s="48">
        <f t="shared" ref="AH49:AH61" si="17">AH$48*(1+$AE$44)^($W49-$W$48)</f>
        <v>331.21977900000013</v>
      </c>
      <c r="AI49" s="90">
        <f t="shared" ref="AI49:AI61" si="18">AI$48*(1+$AE$45)^($W49-$W$48)</f>
        <v>84.86999999999999</v>
      </c>
    </row>
    <row r="50" spans="1:35">
      <c r="K50" s="112" t="s">
        <v>663</v>
      </c>
      <c r="L50">
        <v>5000</v>
      </c>
      <c r="N50" t="s">
        <v>467</v>
      </c>
      <c r="O50" t="s">
        <v>475</v>
      </c>
      <c r="S50">
        <v>4.2300000000000004</v>
      </c>
      <c r="T50" t="s">
        <v>477</v>
      </c>
      <c r="U50" s="86"/>
      <c r="W50" s="84">
        <v>2024</v>
      </c>
      <c r="X50" s="48">
        <f t="shared" si="7"/>
        <v>5.8079999999999998</v>
      </c>
      <c r="Y50" s="48">
        <f t="shared" si="8"/>
        <v>7.2810395639999994</v>
      </c>
      <c r="Z50" s="48">
        <f t="shared" si="9"/>
        <v>29.719832999999994</v>
      </c>
      <c r="AA50" s="48">
        <f t="shared" si="10"/>
        <v>1023.9461099999997</v>
      </c>
      <c r="AB50" s="48">
        <f t="shared" si="11"/>
        <v>4.4486006570000001</v>
      </c>
      <c r="AC50" s="48">
        <f t="shared" si="12"/>
        <v>35.093798</v>
      </c>
      <c r="AD50" s="48">
        <f t="shared" si="13"/>
        <v>22.164503999999997</v>
      </c>
      <c r="AE50" s="48">
        <f t="shared" si="14"/>
        <v>101.11677699999997</v>
      </c>
      <c r="AF50" s="48">
        <f t="shared" si="15"/>
        <v>71.92842899999998</v>
      </c>
      <c r="AG50" s="48">
        <f t="shared" si="16"/>
        <v>207.53179207799994</v>
      </c>
      <c r="AH50" s="48">
        <f t="shared" si="17"/>
        <v>338.83783391700007</v>
      </c>
      <c r="AI50" s="90">
        <f t="shared" si="18"/>
        <v>87.84044999999999</v>
      </c>
    </row>
    <row r="51" spans="1:35">
      <c r="K51" s="112" t="s">
        <v>524</v>
      </c>
      <c r="L51">
        <f>AVERAGE(90,210)*0.19</f>
        <v>28.5</v>
      </c>
      <c r="N51" t="s">
        <v>523</v>
      </c>
      <c r="O51" t="s">
        <v>528</v>
      </c>
      <c r="P51" t="s">
        <v>526</v>
      </c>
      <c r="U51" s="86"/>
      <c r="W51" s="84">
        <v>2025</v>
      </c>
      <c r="X51" s="48">
        <f t="shared" si="7"/>
        <v>5.8079999999999998</v>
      </c>
      <c r="Y51" s="48">
        <f t="shared" si="8"/>
        <v>6.9970790210039997</v>
      </c>
      <c r="Z51" s="48">
        <f t="shared" si="9"/>
        <v>28.204121516999994</v>
      </c>
      <c r="AA51" s="48">
        <f t="shared" si="10"/>
        <v>1041.3531938699996</v>
      </c>
      <c r="AB51" s="48">
        <f t="shared" si="11"/>
        <v>4.2751052313769993</v>
      </c>
      <c r="AC51" s="48">
        <f t="shared" si="12"/>
        <v>33.725139877999993</v>
      </c>
      <c r="AD51" s="48">
        <f t="shared" si="13"/>
        <v>21.300088343999995</v>
      </c>
      <c r="AE51" s="48">
        <f t="shared" si="14"/>
        <v>103.24022931699997</v>
      </c>
      <c r="AF51" s="48">
        <f t="shared" si="15"/>
        <v>73.438926008999971</v>
      </c>
      <c r="AG51" s="48">
        <f t="shared" si="16"/>
        <v>199.43805218695795</v>
      </c>
      <c r="AH51" s="48">
        <f t="shared" si="17"/>
        <v>346.63110409709105</v>
      </c>
      <c r="AI51" s="90">
        <f t="shared" si="18"/>
        <v>90.914865749999976</v>
      </c>
    </row>
    <row r="52" spans="1:35">
      <c r="K52" s="112" t="s">
        <v>525</v>
      </c>
      <c r="L52">
        <f>AVERAGE(90,210)*0.55</f>
        <v>82.5</v>
      </c>
      <c r="N52" t="s">
        <v>523</v>
      </c>
      <c r="O52" t="s">
        <v>529</v>
      </c>
      <c r="P52" t="s">
        <v>527</v>
      </c>
      <c r="U52" s="86"/>
      <c r="W52" s="84">
        <v>2026</v>
      </c>
      <c r="X52" s="48">
        <f t="shared" si="7"/>
        <v>5.8079999999999998</v>
      </c>
      <c r="Y52" s="48">
        <f t="shared" si="8"/>
        <v>6.7241929391848432</v>
      </c>
      <c r="Z52" s="48">
        <f t="shared" si="9"/>
        <v>26.765711319632992</v>
      </c>
      <c r="AA52" s="48">
        <f t="shared" si="10"/>
        <v>1059.0561981657895</v>
      </c>
      <c r="AB52" s="48">
        <f t="shared" si="11"/>
        <v>4.1083761273532966</v>
      </c>
      <c r="AC52" s="48">
        <f t="shared" si="12"/>
        <v>32.409859422757989</v>
      </c>
      <c r="AD52" s="48">
        <f t="shared" si="13"/>
        <v>20.469384898583996</v>
      </c>
      <c r="AE52" s="48">
        <f t="shared" si="14"/>
        <v>105.40827413265694</v>
      </c>
      <c r="AF52" s="48">
        <f t="shared" si="15"/>
        <v>74.981143455188956</v>
      </c>
      <c r="AG52" s="48">
        <f t="shared" si="16"/>
        <v>191.65996815166656</v>
      </c>
      <c r="AH52" s="48">
        <f t="shared" si="17"/>
        <v>354.60361949132414</v>
      </c>
      <c r="AI52" s="90">
        <f t="shared" si="18"/>
        <v>94.096886051249967</v>
      </c>
    </row>
    <row r="53" spans="1:35">
      <c r="K53" s="112" t="s">
        <v>530</v>
      </c>
      <c r="L53" t="s">
        <v>533</v>
      </c>
      <c r="N53" t="s">
        <v>523</v>
      </c>
      <c r="O53" t="s">
        <v>532</v>
      </c>
      <c r="U53" s="86"/>
      <c r="W53" s="84">
        <v>2027</v>
      </c>
      <c r="X53" s="48">
        <f t="shared" si="7"/>
        <v>5.8079999999999998</v>
      </c>
      <c r="Y53" s="48">
        <f t="shared" si="8"/>
        <v>6.4619494145566341</v>
      </c>
      <c r="Z53" s="48">
        <f t="shared" si="9"/>
        <v>25.400660042331705</v>
      </c>
      <c r="AA53" s="48">
        <f t="shared" si="10"/>
        <v>1077.0601535346079</v>
      </c>
      <c r="AB53" s="48">
        <f t="shared" si="11"/>
        <v>3.9481494583865175</v>
      </c>
      <c r="AC53" s="48">
        <f t="shared" si="12"/>
        <v>31.145874905270432</v>
      </c>
      <c r="AD53" s="48">
        <f t="shared" si="13"/>
        <v>19.67107888753922</v>
      </c>
      <c r="AE53" s="48">
        <f t="shared" si="14"/>
        <v>107.62184788944273</v>
      </c>
      <c r="AF53" s="48">
        <f t="shared" si="15"/>
        <v>76.555747467747921</v>
      </c>
      <c r="AG53" s="48">
        <f t="shared" si="16"/>
        <v>184.18522939375157</v>
      </c>
      <c r="AH53" s="48">
        <f t="shared" si="17"/>
        <v>362.75950273962451</v>
      </c>
      <c r="AI53" s="90">
        <f t="shared" si="18"/>
        <v>97.390277063043712</v>
      </c>
    </row>
    <row r="54" spans="1:35" ht="17" thickBot="1">
      <c r="K54" s="121" t="s">
        <v>534</v>
      </c>
      <c r="L54" s="99">
        <f>AVERAGE(70,160)*0.7</f>
        <v>80.5</v>
      </c>
      <c r="M54" s="99"/>
      <c r="N54" s="99" t="s">
        <v>523</v>
      </c>
      <c r="O54" s="99" t="s">
        <v>535</v>
      </c>
      <c r="P54" s="99"/>
      <c r="Q54" s="99"/>
      <c r="R54" s="99"/>
      <c r="S54" s="99"/>
      <c r="T54" s="99"/>
      <c r="U54" s="94"/>
      <c r="W54" s="84">
        <v>2028</v>
      </c>
      <c r="X54" s="48">
        <f t="shared" si="7"/>
        <v>5.8079999999999998</v>
      </c>
      <c r="Y54" s="48">
        <f t="shared" si="8"/>
        <v>6.209933387388924</v>
      </c>
      <c r="Z54" s="48">
        <f t="shared" si="9"/>
        <v>24.105226380172788</v>
      </c>
      <c r="AA54" s="48">
        <f t="shared" si="10"/>
        <v>1095.3701761446962</v>
      </c>
      <c r="AB54" s="48">
        <f t="shared" si="11"/>
        <v>3.7941716295094432</v>
      </c>
      <c r="AC54" s="48">
        <f t="shared" si="12"/>
        <v>29.931185783964882</v>
      </c>
      <c r="AD54" s="48">
        <f t="shared" si="13"/>
        <v>18.903906810925186</v>
      </c>
      <c r="AE54" s="48">
        <f t="shared" si="14"/>
        <v>109.88190669512102</v>
      </c>
      <c r="AF54" s="48">
        <f t="shared" si="15"/>
        <v>78.163418164570615</v>
      </c>
      <c r="AG54" s="48">
        <f t="shared" si="16"/>
        <v>177.00200544739522</v>
      </c>
      <c r="AH54" s="48">
        <f t="shared" si="17"/>
        <v>371.10297130263586</v>
      </c>
      <c r="AI54" s="90">
        <f t="shared" si="18"/>
        <v>100.79893676025024</v>
      </c>
    </row>
    <row r="55" spans="1:35">
      <c r="A55" s="14"/>
      <c r="W55" s="84">
        <v>2029</v>
      </c>
      <c r="X55" s="48">
        <f t="shared" si="7"/>
        <v>5.8079999999999998</v>
      </c>
      <c r="Y55" s="48">
        <f t="shared" si="8"/>
        <v>5.9677459852807564</v>
      </c>
      <c r="Z55" s="48">
        <f t="shared" si="9"/>
        <v>22.875859834783974</v>
      </c>
      <c r="AA55" s="48">
        <f t="shared" si="10"/>
        <v>1113.9914691391557</v>
      </c>
      <c r="AB55" s="48">
        <f t="shared" si="11"/>
        <v>3.6461989359585747</v>
      </c>
      <c r="AC55" s="48">
        <f t="shared" si="12"/>
        <v>28.763869538390249</v>
      </c>
      <c r="AD55" s="48">
        <f t="shared" si="13"/>
        <v>18.166654445299105</v>
      </c>
      <c r="AE55" s="48">
        <f t="shared" si="14"/>
        <v>112.18942673571854</v>
      </c>
      <c r="AF55" s="48">
        <f t="shared" si="15"/>
        <v>79.804849946026593</v>
      </c>
      <c r="AG55" s="48">
        <f t="shared" si="16"/>
        <v>170.09892723494681</v>
      </c>
      <c r="AH55" s="48">
        <f t="shared" si="17"/>
        <v>379.63833964259641</v>
      </c>
      <c r="AI55" s="90">
        <f t="shared" si="18"/>
        <v>104.326899546859</v>
      </c>
    </row>
    <row r="56" spans="1:35">
      <c r="W56" s="84">
        <v>2030</v>
      </c>
      <c r="X56" s="48">
        <f t="shared" si="7"/>
        <v>5.8079999999999998</v>
      </c>
      <c r="Y56" s="48">
        <f t="shared" si="8"/>
        <v>5.7350038918548059</v>
      </c>
      <c r="Z56" s="48">
        <f t="shared" si="9"/>
        <v>21.709190983209993</v>
      </c>
      <c r="AA56" s="48">
        <f t="shared" si="10"/>
        <v>1132.9293241145215</v>
      </c>
      <c r="AB56" s="48">
        <f t="shared" si="11"/>
        <v>3.5039971774561898</v>
      </c>
      <c r="AC56" s="48">
        <f t="shared" si="12"/>
        <v>27.642078626393026</v>
      </c>
      <c r="AD56" s="48">
        <f t="shared" si="13"/>
        <v>17.45815492193244</v>
      </c>
      <c r="AE56" s="48">
        <f t="shared" si="14"/>
        <v>114.54540469716862</v>
      </c>
      <c r="AF56" s="48">
        <f t="shared" si="15"/>
        <v>81.480751794893138</v>
      </c>
      <c r="AG56" s="48">
        <f t="shared" si="16"/>
        <v>163.46506907278388</v>
      </c>
      <c r="AH56" s="48">
        <f t="shared" si="17"/>
        <v>388.37002145437611</v>
      </c>
      <c r="AI56" s="90">
        <f t="shared" si="18"/>
        <v>107.97834103099903</v>
      </c>
    </row>
    <row r="57" spans="1:35">
      <c r="W57" s="84">
        <v>2031</v>
      </c>
      <c r="X57" s="48">
        <f t="shared" si="7"/>
        <v>5.8079999999999998</v>
      </c>
      <c r="Y57" s="48">
        <f t="shared" si="8"/>
        <v>5.5113387400724685</v>
      </c>
      <c r="Z57" s="48">
        <f t="shared" si="9"/>
        <v>20.602022243066283</v>
      </c>
      <c r="AA57" s="48">
        <f t="shared" si="10"/>
        <v>1152.1891226244684</v>
      </c>
      <c r="AB57" s="48">
        <f t="shared" si="11"/>
        <v>3.3673412875353983</v>
      </c>
      <c r="AC57" s="48">
        <f t="shared" si="12"/>
        <v>26.564037559963698</v>
      </c>
      <c r="AD57" s="48">
        <f t="shared" si="13"/>
        <v>16.777286879977073</v>
      </c>
      <c r="AE57" s="48">
        <f t="shared" si="14"/>
        <v>116.95085819580913</v>
      </c>
      <c r="AF57" s="48">
        <f t="shared" si="15"/>
        <v>83.191847582585879</v>
      </c>
      <c r="AG57" s="48">
        <f t="shared" si="16"/>
        <v>157.08993137894529</v>
      </c>
      <c r="AH57" s="48">
        <f t="shared" si="17"/>
        <v>397.30253194782671</v>
      </c>
      <c r="AI57" s="90">
        <f t="shared" si="18"/>
        <v>111.75758296708399</v>
      </c>
    </row>
    <row r="58" spans="1:35">
      <c r="W58" s="84">
        <v>2032</v>
      </c>
      <c r="X58" s="48">
        <f t="shared" si="7"/>
        <v>5.8079999999999998</v>
      </c>
      <c r="Y58" s="48">
        <f t="shared" si="8"/>
        <v>5.2963965292096429</v>
      </c>
      <c r="Z58" s="48">
        <f t="shared" si="9"/>
        <v>19.551319108669897</v>
      </c>
      <c r="AA58" s="48">
        <f t="shared" si="10"/>
        <v>1171.7763377090841</v>
      </c>
      <c r="AB58" s="48">
        <f t="shared" si="11"/>
        <v>3.2360149773215179</v>
      </c>
      <c r="AC58" s="48">
        <f t="shared" si="12"/>
        <v>25.528040095125114</v>
      </c>
      <c r="AD58" s="48">
        <f t="shared" si="13"/>
        <v>16.122972691657967</v>
      </c>
      <c r="AE58" s="48">
        <f t="shared" si="14"/>
        <v>119.40682621792112</v>
      </c>
      <c r="AF58" s="48">
        <f t="shared" si="15"/>
        <v>84.93887638182018</v>
      </c>
      <c r="AG58" s="48">
        <f t="shared" si="16"/>
        <v>150.96342405516643</v>
      </c>
      <c r="AH58" s="48">
        <f t="shared" si="17"/>
        <v>406.44049018262672</v>
      </c>
      <c r="AI58" s="90">
        <f t="shared" si="18"/>
        <v>115.66909837093192</v>
      </c>
    </row>
    <row r="59" spans="1:35">
      <c r="W59" s="84">
        <v>2033</v>
      </c>
      <c r="X59" s="48">
        <f t="shared" si="7"/>
        <v>5.8079999999999998</v>
      </c>
      <c r="Y59" s="48">
        <f t="shared" si="8"/>
        <v>5.0898370645704656</v>
      </c>
      <c r="Z59" s="48">
        <f t="shared" si="9"/>
        <v>18.554201834127731</v>
      </c>
      <c r="AA59" s="48">
        <f t="shared" si="10"/>
        <v>1191.6965354501383</v>
      </c>
      <c r="AB59" s="48">
        <f t="shared" si="11"/>
        <v>3.1098103932059784</v>
      </c>
      <c r="AC59" s="48">
        <f t="shared" si="12"/>
        <v>24.532446531415232</v>
      </c>
      <c r="AD59" s="48">
        <f t="shared" si="13"/>
        <v>15.494176756683306</v>
      </c>
      <c r="AE59" s="48">
        <f t="shared" si="14"/>
        <v>121.91436956849746</v>
      </c>
      <c r="AF59" s="48">
        <f t="shared" si="15"/>
        <v>86.722592785838401</v>
      </c>
      <c r="AG59" s="48">
        <f t="shared" si="16"/>
        <v>145.07585051701494</v>
      </c>
      <c r="AH59" s="48">
        <f t="shared" si="17"/>
        <v>415.78862145682712</v>
      </c>
      <c r="AI59" s="90">
        <f t="shared" si="18"/>
        <v>119.71751681391454</v>
      </c>
    </row>
    <row r="60" spans="1:35">
      <c r="W60" s="84">
        <v>2034</v>
      </c>
      <c r="X60" s="48">
        <f t="shared" si="7"/>
        <v>5.8079999999999998</v>
      </c>
      <c r="Y60" s="48">
        <f t="shared" si="8"/>
        <v>4.8913334190522173</v>
      </c>
      <c r="Z60" s="48">
        <f t="shared" si="9"/>
        <v>17.607937540587216</v>
      </c>
      <c r="AA60" s="48">
        <f t="shared" si="10"/>
        <v>1211.9553765527905</v>
      </c>
      <c r="AB60" s="48">
        <f t="shared" si="11"/>
        <v>2.9885277878709449</v>
      </c>
      <c r="AC60" s="48">
        <f t="shared" si="12"/>
        <v>23.575681116690035</v>
      </c>
      <c r="AD60" s="48">
        <f t="shared" si="13"/>
        <v>14.889903863172655</v>
      </c>
      <c r="AE60" s="48">
        <f t="shared" si="14"/>
        <v>124.47457132943588</v>
      </c>
      <c r="AF60" s="48">
        <f t="shared" si="15"/>
        <v>88.543767234340976</v>
      </c>
      <c r="AG60" s="48">
        <f t="shared" si="16"/>
        <v>139.41789234685135</v>
      </c>
      <c r="AH60" s="48">
        <f t="shared" si="17"/>
        <v>425.35175975033411</v>
      </c>
      <c r="AI60" s="90">
        <f t="shared" si="18"/>
        <v>123.90762990240154</v>
      </c>
    </row>
    <row r="61" spans="1:35">
      <c r="W61" s="84">
        <v>2035</v>
      </c>
      <c r="X61" s="48">
        <f t="shared" si="7"/>
        <v>5.8079999999999998</v>
      </c>
      <c r="Y61" s="48">
        <f t="shared" si="8"/>
        <v>4.7005714157091809</v>
      </c>
      <c r="Z61" s="48">
        <f t="shared" si="9"/>
        <v>16.709932726017264</v>
      </c>
      <c r="AA61" s="48">
        <f t="shared" si="10"/>
        <v>1232.5586179541879</v>
      </c>
      <c r="AB61" s="48">
        <f t="shared" si="11"/>
        <v>2.8719752041439781</v>
      </c>
      <c r="AC61" s="48">
        <f t="shared" si="12"/>
        <v>22.656229553139127</v>
      </c>
      <c r="AD61" s="48">
        <f t="shared" si="13"/>
        <v>14.309197612508921</v>
      </c>
      <c r="AE61" s="48">
        <f t="shared" si="14"/>
        <v>127.088537327354</v>
      </c>
      <c r="AF61" s="48">
        <f t="shared" si="15"/>
        <v>90.403186346262132</v>
      </c>
      <c r="AG61" s="48">
        <f t="shared" si="16"/>
        <v>133.98059454532415</v>
      </c>
      <c r="AH61" s="48">
        <f t="shared" si="17"/>
        <v>435.13485022459173</v>
      </c>
      <c r="AI61" s="90">
        <f t="shared" si="18"/>
        <v>128.24439694898558</v>
      </c>
    </row>
    <row r="62" spans="1:35" ht="17" thickBot="1">
      <c r="W62" s="91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4"/>
    </row>
    <row r="66" spans="1:10">
      <c r="B66" t="s">
        <v>463</v>
      </c>
      <c r="C66" t="s">
        <v>141</v>
      </c>
      <c r="D66" t="s">
        <v>665</v>
      </c>
      <c r="F66" t="s">
        <v>141</v>
      </c>
    </row>
    <row r="67" spans="1:10">
      <c r="A67" s="1" t="s">
        <v>664</v>
      </c>
      <c r="B67">
        <v>5800</v>
      </c>
      <c r="C67" t="s">
        <v>666</v>
      </c>
      <c r="D67">
        <v>1500</v>
      </c>
      <c r="F67" t="s">
        <v>474</v>
      </c>
      <c r="G67" s="38" t="s">
        <v>667</v>
      </c>
    </row>
    <row r="68" spans="1:10">
      <c r="A68" s="1"/>
      <c r="B68">
        <f>B67*0.84</f>
        <v>4872</v>
      </c>
      <c r="C68" t="s">
        <v>669</v>
      </c>
      <c r="D68">
        <f>D67*0.84</f>
        <v>1260</v>
      </c>
      <c r="F68" t="s">
        <v>617</v>
      </c>
      <c r="G68" s="55" t="s">
        <v>668</v>
      </c>
    </row>
    <row r="69" spans="1:10">
      <c r="A69" s="1" t="s">
        <v>179</v>
      </c>
      <c r="B69">
        <v>100</v>
      </c>
      <c r="C69" t="s">
        <v>669</v>
      </c>
      <c r="D69">
        <v>415</v>
      </c>
      <c r="F69" t="s">
        <v>617</v>
      </c>
      <c r="G69" t="s">
        <v>751</v>
      </c>
    </row>
    <row r="70" spans="1:10">
      <c r="A70" s="1" t="s">
        <v>37</v>
      </c>
      <c r="D70">
        <v>0.4</v>
      </c>
      <c r="E70" t="s">
        <v>910</v>
      </c>
      <c r="G70" t="s">
        <v>909</v>
      </c>
    </row>
    <row r="71" spans="1:10">
      <c r="A71" s="103" t="s">
        <v>235</v>
      </c>
      <c r="D71">
        <f>279+45</f>
        <v>324</v>
      </c>
      <c r="E71" t="s">
        <v>911</v>
      </c>
      <c r="G71" s="38" t="s">
        <v>912</v>
      </c>
    </row>
    <row r="72" spans="1:10">
      <c r="A72" s="103" t="s">
        <v>913</v>
      </c>
      <c r="D72">
        <f>23+180</f>
        <v>203</v>
      </c>
      <c r="E72" t="s">
        <v>911</v>
      </c>
    </row>
    <row r="73" spans="1:10">
      <c r="A73" s="103" t="s">
        <v>914</v>
      </c>
      <c r="D73">
        <f>AVERAGE(D71:D72)</f>
        <v>263.5</v>
      </c>
      <c r="J73" s="38"/>
    </row>
    <row r="74" spans="1:10">
      <c r="A74" s="15" t="s">
        <v>507</v>
      </c>
      <c r="G74" t="s">
        <v>567</v>
      </c>
    </row>
    <row r="75" spans="1:10">
      <c r="A75" s="14" t="s">
        <v>37</v>
      </c>
      <c r="B75">
        <v>16.7</v>
      </c>
      <c r="C75" t="s">
        <v>509</v>
      </c>
      <c r="D75" t="s">
        <v>510</v>
      </c>
      <c r="E75">
        <f>B75*$B$80</f>
        <v>14.027999999999999</v>
      </c>
      <c r="F75" t="s">
        <v>566</v>
      </c>
      <c r="H75" t="s">
        <v>568</v>
      </c>
    </row>
    <row r="76" spans="1:10">
      <c r="A76" s="14" t="s">
        <v>442</v>
      </c>
      <c r="B76">
        <v>6.8</v>
      </c>
      <c r="C76" t="s">
        <v>509</v>
      </c>
      <c r="D76" t="s">
        <v>511</v>
      </c>
      <c r="E76">
        <f>B76*$B$80</f>
        <v>5.7119999999999997</v>
      </c>
      <c r="F76" t="s">
        <v>566</v>
      </c>
    </row>
    <row r="77" spans="1:10">
      <c r="A77" s="14" t="s">
        <v>508</v>
      </c>
      <c r="B77">
        <v>4.0999999999999996</v>
      </c>
      <c r="C77" t="s">
        <v>509</v>
      </c>
      <c r="D77" t="s">
        <v>512</v>
      </c>
      <c r="E77">
        <f>B77*$B$80</f>
        <v>3.4439999999999995</v>
      </c>
      <c r="F77" t="s">
        <v>566</v>
      </c>
    </row>
    <row r="78" spans="1:10">
      <c r="A78" s="14" t="s">
        <v>128</v>
      </c>
      <c r="B78">
        <v>2.2000000000000002</v>
      </c>
      <c r="C78" t="s">
        <v>509</v>
      </c>
      <c r="D78" t="s">
        <v>513</v>
      </c>
      <c r="E78">
        <f>B78*$B$80</f>
        <v>1.8480000000000001</v>
      </c>
      <c r="F78" t="s">
        <v>566</v>
      </c>
      <c r="G78">
        <f>2351</f>
        <v>2351</v>
      </c>
      <c r="H78" t="s">
        <v>621</v>
      </c>
      <c r="I78" t="s">
        <v>620</v>
      </c>
    </row>
    <row r="80" spans="1:10">
      <c r="A80" t="s">
        <v>563</v>
      </c>
      <c r="B80">
        <v>0.84</v>
      </c>
      <c r="C80" t="s">
        <v>564</v>
      </c>
      <c r="D80" t="s">
        <v>565</v>
      </c>
    </row>
  </sheetData>
  <autoFilter ref="A6:I29" xr:uid="{CF8C65D2-18B1-924C-A802-D06F5E33240F}">
    <sortState xmlns:xlrd2="http://schemas.microsoft.com/office/spreadsheetml/2017/richdata2" ref="A7:I29">
      <sortCondition ref="A7:A29"/>
    </sortState>
  </autoFilter>
  <sortState xmlns:xlrd2="http://schemas.microsoft.com/office/spreadsheetml/2017/richdata2" ref="A35:H46">
    <sortCondition ref="A35:A46"/>
  </sortState>
  <mergeCells count="1">
    <mergeCell ref="A1:F1"/>
  </mergeCells>
  <phoneticPr fontId="2" type="noConversion"/>
  <hyperlinks>
    <hyperlink ref="G11" r:id="rId1" xr:uid="{3F4FF00B-443C-C041-B8F9-15EBD5BB7088}"/>
    <hyperlink ref="AC27" r:id="rId2" location=":~:text=The%20results%20of%20our%20analysis,the%20U.S.%20One%20of%20the" xr:uid="{5DFC2A2D-1013-3341-ACA4-65B2BDC2BE64}"/>
    <hyperlink ref="W31" r:id="rId3" xr:uid="{AC923CD0-2137-E648-B2D0-1EF36381AB49}"/>
    <hyperlink ref="Z43" r:id="rId4" xr:uid="{5F318C79-7C34-334A-B9D9-479F025EE2F7}"/>
    <hyperlink ref="Z45" r:id="rId5" xr:uid="{BB478FD7-B85A-4747-84A6-5C40148F8355}"/>
    <hyperlink ref="Z41" r:id="rId6" xr:uid="{5AB4F4C9-2998-014B-992A-6161F7EB7AEE}"/>
    <hyperlink ref="Z38" r:id="rId7" xr:uid="{D3FAAADC-1EEA-D545-A17A-09F385ED5677}"/>
    <hyperlink ref="Z39:Z40" r:id="rId8" display="https://www.ewi.uni-koeln.de/cms/wp-content/uploads/2022/12/221209_EWI_H2-Steel_Low-carbon-steel.pdf" xr:uid="{52D4A0C1-2CC9-3841-9C57-CDEBF3D1E580}"/>
    <hyperlink ref="Z35" r:id="rId9" xr:uid="{FD282449-E8DD-9B40-9EE9-88AF189734ED}"/>
    <hyperlink ref="Z37" r:id="rId10" xr:uid="{F84FF59E-DAED-1B42-88A0-7D11834173B0}"/>
    <hyperlink ref="Z36" r:id="rId11" xr:uid="{78CB992B-8E4E-B84C-B095-918568032116}"/>
    <hyperlink ref="Z42" r:id="rId12" location=":~:text=In%20South%20Korea%2C%20the%20analysis,BF%2DBOF%20cost%20of%20%24605." xr:uid="{7B066CAF-6D54-2546-AC69-5B38B3204140}"/>
    <hyperlink ref="G67" r:id="rId13" xr:uid="{597FA935-FAF8-A34C-91ED-B63E8BC7B4E0}"/>
    <hyperlink ref="G71" r:id="rId14" xr:uid="{4D4DF724-3AEF-E649-8DE7-EC63347742B7}"/>
  </hyperlinks>
  <pageMargins left="0.7" right="0.7" top="0.78740157499999996" bottom="0.78740157499999996" header="0.3" footer="0.3"/>
  <pageSetup paperSize="9" orientation="portrait" horizontalDpi="0" verticalDpi="0"/>
  <drawing r:id="rId15"/>
  <legacyDrawing r:id="rId1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E4ED-4661-3B46-8B00-4A93731FA860}">
  <dimension ref="A1:L73"/>
  <sheetViews>
    <sheetView zoomScale="108" workbookViewId="0">
      <selection activeCell="K24" sqref="K24"/>
    </sheetView>
  </sheetViews>
  <sheetFormatPr baseColWidth="10" defaultRowHeight="16"/>
  <cols>
    <col min="1" max="1" width="25.6640625" bestFit="1" customWidth="1"/>
    <col min="2" max="2" width="47.33203125" bestFit="1" customWidth="1"/>
    <col min="3" max="3" width="22.1640625" customWidth="1"/>
    <col min="4" max="4" width="20.6640625" customWidth="1"/>
  </cols>
  <sheetData>
    <row r="1" spans="1:9">
      <c r="A1" s="15" t="s">
        <v>497</v>
      </c>
      <c r="B1" s="15" t="s">
        <v>498</v>
      </c>
      <c r="C1" s="1" t="s">
        <v>500</v>
      </c>
      <c r="D1" s="1" t="s">
        <v>673</v>
      </c>
    </row>
    <row r="2" spans="1:9">
      <c r="A2" s="15" t="s">
        <v>132</v>
      </c>
      <c r="B2" s="14">
        <v>9.0999999999999998E-2</v>
      </c>
      <c r="C2" t="s">
        <v>501</v>
      </c>
      <c r="D2" t="s">
        <v>503</v>
      </c>
    </row>
    <row r="3" spans="1:9">
      <c r="A3" s="15" t="s">
        <v>368</v>
      </c>
      <c r="B3" s="14">
        <v>0.14099999999999999</v>
      </c>
      <c r="C3" s="38" t="s">
        <v>501</v>
      </c>
      <c r="D3" t="s">
        <v>503</v>
      </c>
    </row>
    <row r="4" spans="1:9">
      <c r="A4" s="15" t="s">
        <v>19</v>
      </c>
      <c r="B4" s="14">
        <v>4.2000000000000003E-2</v>
      </c>
      <c r="C4" t="s">
        <v>501</v>
      </c>
      <c r="D4" t="s">
        <v>503</v>
      </c>
    </row>
    <row r="5" spans="1:9">
      <c r="A5" s="15" t="s">
        <v>5</v>
      </c>
      <c r="B5" s="14">
        <v>0.59599999999999997</v>
      </c>
      <c r="C5" t="s">
        <v>501</v>
      </c>
      <c r="D5" t="s">
        <v>503</v>
      </c>
    </row>
    <row r="6" spans="1:9">
      <c r="A6" s="15" t="s">
        <v>499</v>
      </c>
      <c r="B6" s="14">
        <v>0.217</v>
      </c>
      <c r="C6" t="s">
        <v>501</v>
      </c>
      <c r="D6" t="s">
        <v>503</v>
      </c>
    </row>
    <row r="7" spans="1:9">
      <c r="A7" s="15" t="s">
        <v>110</v>
      </c>
      <c r="B7" s="14">
        <v>0.14399999999999999</v>
      </c>
      <c r="C7" t="s">
        <v>501</v>
      </c>
      <c r="D7" t="s">
        <v>503</v>
      </c>
    </row>
    <row r="8" spans="1:9">
      <c r="A8" s="15" t="s">
        <v>177</v>
      </c>
      <c r="B8" s="14">
        <v>9.0999999999999998E-2</v>
      </c>
      <c r="C8" t="s">
        <v>501</v>
      </c>
      <c r="D8" t="s">
        <v>503</v>
      </c>
    </row>
    <row r="9" spans="1:9">
      <c r="A9" s="15" t="s">
        <v>11</v>
      </c>
      <c r="B9" s="14">
        <v>0.374</v>
      </c>
      <c r="C9" t="s">
        <v>501</v>
      </c>
      <c r="D9" t="s">
        <v>503</v>
      </c>
    </row>
    <row r="10" spans="1:9">
      <c r="A10" s="15" t="s">
        <v>146</v>
      </c>
      <c r="B10" s="14">
        <v>0.67400000000000004</v>
      </c>
      <c r="C10" t="s">
        <v>501</v>
      </c>
      <c r="D10" t="s">
        <v>503</v>
      </c>
    </row>
    <row r="11" spans="1:9">
      <c r="A11" s="15" t="s">
        <v>502</v>
      </c>
      <c r="B11" s="14">
        <v>0.107</v>
      </c>
      <c r="C11" t="s">
        <v>501</v>
      </c>
      <c r="D11" t="s">
        <v>503</v>
      </c>
    </row>
    <row r="12" spans="1:9">
      <c r="A12" s="15"/>
      <c r="B12" s="14"/>
    </row>
    <row r="13" spans="1:9">
      <c r="A13" s="15" t="s">
        <v>132</v>
      </c>
      <c r="B13" s="14">
        <v>4.0000000000000001E-3</v>
      </c>
      <c r="C13" t="s">
        <v>501</v>
      </c>
      <c r="D13" t="s">
        <v>504</v>
      </c>
      <c r="E13">
        <f>B13*0.84</f>
        <v>3.3600000000000001E-3</v>
      </c>
      <c r="H13" t="s">
        <v>757</v>
      </c>
      <c r="I13" t="s">
        <v>758</v>
      </c>
    </row>
    <row r="14" spans="1:9">
      <c r="A14" s="15" t="s">
        <v>368</v>
      </c>
      <c r="B14" s="14">
        <v>0.26500000000000001</v>
      </c>
      <c r="C14" t="s">
        <v>501</v>
      </c>
      <c r="D14" t="s">
        <v>504</v>
      </c>
      <c r="E14">
        <f t="shared" ref="E14:E22" si="0">B14*0.84</f>
        <v>0.22259999999999999</v>
      </c>
      <c r="H14" s="15" t="s">
        <v>132</v>
      </c>
      <c r="I14">
        <v>1.7000000000000001E-2</v>
      </c>
    </row>
    <row r="15" spans="1:9">
      <c r="A15" s="15" t="s">
        <v>19</v>
      </c>
      <c r="B15" s="14">
        <v>5.0000000000000001E-3</v>
      </c>
      <c r="C15" t="s">
        <v>501</v>
      </c>
      <c r="D15" t="s">
        <v>504</v>
      </c>
      <c r="E15">
        <f t="shared" si="0"/>
        <v>4.1999999999999997E-3</v>
      </c>
      <c r="H15" s="15" t="s">
        <v>368</v>
      </c>
      <c r="I15">
        <v>0.107</v>
      </c>
    </row>
    <row r="16" spans="1:9">
      <c r="A16" s="15" t="s">
        <v>5</v>
      </c>
      <c r="B16" s="14">
        <v>0.111</v>
      </c>
      <c r="C16" t="s">
        <v>501</v>
      </c>
      <c r="D16" t="s">
        <v>504</v>
      </c>
      <c r="E16">
        <f t="shared" si="0"/>
        <v>9.3240000000000003E-2</v>
      </c>
      <c r="H16" s="15" t="s">
        <v>19</v>
      </c>
      <c r="I16">
        <v>8.0000000000000002E-3</v>
      </c>
    </row>
    <row r="17" spans="1:9">
      <c r="A17" s="15" t="s">
        <v>499</v>
      </c>
      <c r="B17" s="14">
        <v>8.9999999999999993E-3</v>
      </c>
      <c r="C17" t="s">
        <v>501</v>
      </c>
      <c r="D17" t="s">
        <v>504</v>
      </c>
      <c r="E17">
        <f t="shared" si="0"/>
        <v>7.559999999999999E-3</v>
      </c>
      <c r="H17" s="15" t="s">
        <v>5</v>
      </c>
      <c r="I17">
        <v>3.4000000000000002E-2</v>
      </c>
    </row>
    <row r="18" spans="1:9">
      <c r="A18" s="15" t="s">
        <v>110</v>
      </c>
      <c r="B18" s="14">
        <v>2E-3</v>
      </c>
      <c r="C18" t="s">
        <v>501</v>
      </c>
      <c r="D18" t="s">
        <v>504</v>
      </c>
      <c r="E18">
        <f t="shared" si="0"/>
        <v>1.6800000000000001E-3</v>
      </c>
      <c r="H18" s="15" t="s">
        <v>499</v>
      </c>
      <c r="I18">
        <v>3.6999999999999998E-2</v>
      </c>
    </row>
    <row r="19" spans="1:9">
      <c r="A19" s="15" t="s">
        <v>177</v>
      </c>
      <c r="B19" s="14">
        <v>0.13800000000000001</v>
      </c>
      <c r="C19" t="s">
        <v>501</v>
      </c>
      <c r="D19" t="s">
        <v>504</v>
      </c>
      <c r="E19">
        <f t="shared" si="0"/>
        <v>0.11592000000000001</v>
      </c>
      <c r="H19" s="15" t="s">
        <v>110</v>
      </c>
      <c r="I19">
        <v>5.8999999999999997E-2</v>
      </c>
    </row>
    <row r="20" spans="1:9">
      <c r="A20" s="15" t="s">
        <v>11</v>
      </c>
      <c r="B20" s="14">
        <v>0.114</v>
      </c>
      <c r="C20" t="s">
        <v>501</v>
      </c>
      <c r="D20" t="s">
        <v>504</v>
      </c>
      <c r="E20">
        <f t="shared" si="0"/>
        <v>9.5759999999999998E-2</v>
      </c>
      <c r="H20" s="15" t="s">
        <v>177</v>
      </c>
      <c r="I20">
        <v>8.1000000000000003E-2</v>
      </c>
    </row>
    <row r="21" spans="1:9">
      <c r="A21" s="15" t="s">
        <v>146</v>
      </c>
      <c r="B21" s="14">
        <v>6.3E-2</v>
      </c>
      <c r="C21" t="s">
        <v>501</v>
      </c>
      <c r="D21" t="s">
        <v>504</v>
      </c>
      <c r="E21">
        <f t="shared" si="0"/>
        <v>5.2920000000000002E-2</v>
      </c>
      <c r="H21" s="15" t="s">
        <v>11</v>
      </c>
      <c r="I21">
        <v>4.1000000000000002E-2</v>
      </c>
    </row>
    <row r="22" spans="1:9">
      <c r="A22" s="15" t="s">
        <v>502</v>
      </c>
      <c r="B22" s="14">
        <v>0.12</v>
      </c>
      <c r="C22" t="s">
        <v>501</v>
      </c>
      <c r="D22" t="s">
        <v>504</v>
      </c>
      <c r="E22">
        <f t="shared" si="0"/>
        <v>0.10079999999999999</v>
      </c>
      <c r="H22" s="15" t="s">
        <v>146</v>
      </c>
      <c r="I22">
        <v>5.5E-2</v>
      </c>
    </row>
    <row r="23" spans="1:9">
      <c r="E23">
        <f>AVERAGE(E14,E17:E19)</f>
        <v>8.6940000000000003E-2</v>
      </c>
      <c r="H23" t="s">
        <v>548</v>
      </c>
      <c r="I23">
        <v>0.06</v>
      </c>
    </row>
    <row r="24" spans="1:9">
      <c r="A24" s="15" t="s">
        <v>132</v>
      </c>
      <c r="B24" s="14">
        <v>0.02</v>
      </c>
      <c r="C24" t="s">
        <v>501</v>
      </c>
      <c r="D24" t="s">
        <v>505</v>
      </c>
      <c r="E24">
        <f>B24*0.84</f>
        <v>1.6799999999999999E-2</v>
      </c>
      <c r="H24" t="s">
        <v>449</v>
      </c>
      <c r="I24">
        <v>3.2000000000000001E-2</v>
      </c>
    </row>
    <row r="25" spans="1:9">
      <c r="A25" s="15" t="s">
        <v>368</v>
      </c>
      <c r="B25" s="14">
        <v>0.16</v>
      </c>
      <c r="C25" t="s">
        <v>501</v>
      </c>
      <c r="D25" t="s">
        <v>505</v>
      </c>
      <c r="E25">
        <f t="shared" ref="E25:E33" si="1">B25*0.84</f>
        <v>0.13439999999999999</v>
      </c>
      <c r="H25" s="15" t="s">
        <v>502</v>
      </c>
      <c r="I25">
        <v>2.1999999999999999E-2</v>
      </c>
    </row>
    <row r="26" spans="1:9">
      <c r="A26" s="15" t="s">
        <v>19</v>
      </c>
      <c r="B26" s="14">
        <v>8.0000000000000002E-3</v>
      </c>
      <c r="C26" t="s">
        <v>501</v>
      </c>
      <c r="D26" t="s">
        <v>505</v>
      </c>
      <c r="E26">
        <f t="shared" si="1"/>
        <v>6.7200000000000003E-3</v>
      </c>
    </row>
    <row r="27" spans="1:9">
      <c r="A27" s="15" t="s">
        <v>5</v>
      </c>
      <c r="B27" s="14">
        <v>7.0999999999999994E-2</v>
      </c>
      <c r="C27" t="s">
        <v>501</v>
      </c>
      <c r="D27" t="s">
        <v>505</v>
      </c>
      <c r="E27">
        <f t="shared" si="1"/>
        <v>5.9639999999999992E-2</v>
      </c>
      <c r="H27" t="s">
        <v>757</v>
      </c>
      <c r="I27" t="s">
        <v>759</v>
      </c>
    </row>
    <row r="28" spans="1:9">
      <c r="A28" s="15" t="s">
        <v>499</v>
      </c>
      <c r="B28" s="14">
        <v>0.106</v>
      </c>
      <c r="C28" t="s">
        <v>501</v>
      </c>
      <c r="D28" t="s">
        <v>505</v>
      </c>
      <c r="E28">
        <f t="shared" si="1"/>
        <v>8.9039999999999994E-2</v>
      </c>
      <c r="H28" s="15" t="s">
        <v>132</v>
      </c>
      <c r="I28">
        <v>4.0000000000000001E-3</v>
      </c>
    </row>
    <row r="29" spans="1:9">
      <c r="A29" s="15" t="s">
        <v>110</v>
      </c>
      <c r="B29" s="14">
        <v>6.3E-2</v>
      </c>
      <c r="C29" s="38" t="s">
        <v>501</v>
      </c>
      <c r="D29" t="s">
        <v>505</v>
      </c>
      <c r="E29">
        <f t="shared" si="1"/>
        <v>5.2920000000000002E-2</v>
      </c>
      <c r="H29" s="15" t="s">
        <v>368</v>
      </c>
      <c r="I29">
        <v>2.8000000000000001E-2</v>
      </c>
    </row>
    <row r="30" spans="1:9">
      <c r="A30" s="15" t="s">
        <v>177</v>
      </c>
      <c r="B30" s="14">
        <v>5.7000000000000002E-2</v>
      </c>
      <c r="C30" t="s">
        <v>501</v>
      </c>
      <c r="D30" t="s">
        <v>505</v>
      </c>
      <c r="E30">
        <f t="shared" si="1"/>
        <v>4.7879999999999999E-2</v>
      </c>
      <c r="H30" s="15" t="s">
        <v>19</v>
      </c>
      <c r="I30">
        <v>3.0000000000000001E-3</v>
      </c>
    </row>
    <row r="31" spans="1:9">
      <c r="A31" s="15" t="s">
        <v>11</v>
      </c>
      <c r="B31" s="14">
        <v>0.23300000000000001</v>
      </c>
      <c r="C31" t="s">
        <v>501</v>
      </c>
      <c r="D31" t="s">
        <v>505</v>
      </c>
      <c r="E31">
        <f t="shared" si="1"/>
        <v>0.19572000000000001</v>
      </c>
      <c r="H31" s="15" t="s">
        <v>5</v>
      </c>
      <c r="I31">
        <v>6.0000000000000001E-3</v>
      </c>
    </row>
    <row r="32" spans="1:9">
      <c r="A32" s="15" t="s">
        <v>146</v>
      </c>
      <c r="B32" s="14">
        <v>6.4000000000000001E-2</v>
      </c>
      <c r="C32" t="s">
        <v>501</v>
      </c>
      <c r="D32" t="s">
        <v>505</v>
      </c>
      <c r="E32">
        <f t="shared" si="1"/>
        <v>5.3760000000000002E-2</v>
      </c>
      <c r="H32" s="15" t="s">
        <v>499</v>
      </c>
      <c r="I32">
        <v>7.0000000000000001E-3</v>
      </c>
    </row>
    <row r="33" spans="1:9">
      <c r="A33" s="15" t="s">
        <v>502</v>
      </c>
      <c r="B33" s="14">
        <v>4.2000000000000003E-2</v>
      </c>
      <c r="C33" t="s">
        <v>501</v>
      </c>
      <c r="D33" t="s">
        <v>505</v>
      </c>
      <c r="E33">
        <f t="shared" si="1"/>
        <v>3.5279999999999999E-2</v>
      </c>
      <c r="H33" s="15" t="s">
        <v>110</v>
      </c>
      <c r="I33">
        <v>8.0000000000000002E-3</v>
      </c>
    </row>
    <row r="34" spans="1:9">
      <c r="E34">
        <f>AVERAGE(E24:E33)</f>
        <v>6.9216E-2</v>
      </c>
      <c r="H34" s="15" t="s">
        <v>177</v>
      </c>
      <c r="I34">
        <v>8.9999999999999993E-3</v>
      </c>
    </row>
    <row r="35" spans="1:9">
      <c r="A35" s="15" t="s">
        <v>132</v>
      </c>
      <c r="B35" s="14">
        <v>1E-3</v>
      </c>
      <c r="C35" t="s">
        <v>506</v>
      </c>
      <c r="D35">
        <v>8.9999999999999993E-3</v>
      </c>
      <c r="E35">
        <f>AVERAGE(E28:E30,E25)</f>
        <v>8.1059999999999993E-2</v>
      </c>
      <c r="H35" s="15" t="s">
        <v>11</v>
      </c>
      <c r="I35">
        <v>1.4E-2</v>
      </c>
    </row>
    <row r="36" spans="1:9">
      <c r="A36" s="15" t="s">
        <v>368</v>
      </c>
      <c r="B36" s="14">
        <v>0</v>
      </c>
      <c r="C36" t="s">
        <v>506</v>
      </c>
      <c r="D36">
        <v>1.0999999999999999E-2</v>
      </c>
      <c r="H36" s="15" t="s">
        <v>146</v>
      </c>
      <c r="I36">
        <v>7.0000000000000001E-3</v>
      </c>
    </row>
    <row r="37" spans="1:9">
      <c r="A37" s="15" t="s">
        <v>19</v>
      </c>
      <c r="B37" s="14">
        <v>1E-3</v>
      </c>
      <c r="C37" t="s">
        <v>506</v>
      </c>
      <c r="D37">
        <v>1.7000000000000001E-2</v>
      </c>
      <c r="H37" t="s">
        <v>548</v>
      </c>
      <c r="I37">
        <v>8.0000000000000002E-3</v>
      </c>
    </row>
    <row r="38" spans="1:9">
      <c r="A38" s="15" t="s">
        <v>5</v>
      </c>
      <c r="B38" s="14">
        <v>1.9E-2</v>
      </c>
      <c r="C38" t="s">
        <v>506</v>
      </c>
      <c r="D38">
        <v>8.0000000000000002E-3</v>
      </c>
      <c r="H38" t="s">
        <v>449</v>
      </c>
      <c r="I38">
        <v>6.0000000000000001E-3</v>
      </c>
    </row>
    <row r="39" spans="1:9">
      <c r="A39" s="15" t="s">
        <v>499</v>
      </c>
      <c r="B39" s="14">
        <v>0</v>
      </c>
      <c r="C39" t="s">
        <v>506</v>
      </c>
      <c r="D39">
        <v>2.5999999999999999E-2</v>
      </c>
      <c r="H39" s="15" t="s">
        <v>502</v>
      </c>
      <c r="I39">
        <v>5.0000000000000001E-3</v>
      </c>
    </row>
    <row r="40" spans="1:9">
      <c r="A40" s="15" t="s">
        <v>110</v>
      </c>
      <c r="B40" s="14">
        <v>1E-3</v>
      </c>
      <c r="C40" t="s">
        <v>506</v>
      </c>
      <c r="D40">
        <v>3.0000000000000001E-3</v>
      </c>
    </row>
    <row r="41" spans="1:9">
      <c r="A41" s="15" t="s">
        <v>177</v>
      </c>
      <c r="B41" s="14">
        <v>1.2E-2</v>
      </c>
      <c r="C41" t="s">
        <v>506</v>
      </c>
      <c r="D41">
        <v>0.152</v>
      </c>
    </row>
    <row r="42" spans="1:9">
      <c r="A42" s="15" t="s">
        <v>11</v>
      </c>
      <c r="B42" s="14">
        <v>1.2999999999999999E-2</v>
      </c>
      <c r="C42" t="s">
        <v>506</v>
      </c>
      <c r="D42">
        <v>3.0000000000000001E-3</v>
      </c>
    </row>
    <row r="43" spans="1:9" ht="17" customHeight="1">
      <c r="A43" s="15" t="s">
        <v>146</v>
      </c>
      <c r="B43" s="14">
        <v>1.0999999999999999E-2</v>
      </c>
      <c r="C43" t="s">
        <v>506</v>
      </c>
      <c r="D43">
        <v>1E-3</v>
      </c>
    </row>
    <row r="44" spans="1:9" ht="17" customHeight="1">
      <c r="A44" t="s">
        <v>548</v>
      </c>
      <c r="B44" s="67">
        <f>AVERAGE(B39:B41,B36)</f>
        <v>3.2500000000000003E-3</v>
      </c>
      <c r="C44" t="s">
        <v>506</v>
      </c>
      <c r="D44">
        <v>1E-3</v>
      </c>
    </row>
    <row r="45" spans="1:9" ht="17" customHeight="1">
      <c r="A45" t="s">
        <v>449</v>
      </c>
      <c r="B45" s="67">
        <f>AVERAGE(B35:B44,B46)</f>
        <v>6.9318181818181814E-3</v>
      </c>
      <c r="C45" t="s">
        <v>506</v>
      </c>
      <c r="D45">
        <v>1E-3</v>
      </c>
    </row>
    <row r="46" spans="1:9" ht="17" customHeight="1">
      <c r="A46" s="15" t="s">
        <v>502</v>
      </c>
      <c r="B46" s="14">
        <v>1.4999999999999999E-2</v>
      </c>
      <c r="C46" t="s">
        <v>506</v>
      </c>
      <c r="D46">
        <v>2E-3</v>
      </c>
    </row>
    <row r="47" spans="1:9">
      <c r="A47" s="15"/>
      <c r="B47" s="14"/>
    </row>
    <row r="48" spans="1:9">
      <c r="B48" s="1" t="s">
        <v>670</v>
      </c>
      <c r="C48" s="1" t="s">
        <v>671</v>
      </c>
      <c r="D48" s="1" t="s">
        <v>503</v>
      </c>
      <c r="E48" s="1" t="s">
        <v>674</v>
      </c>
      <c r="F48" s="1" t="s">
        <v>157</v>
      </c>
      <c r="H48" s="1" t="s">
        <v>675</v>
      </c>
    </row>
    <row r="49" spans="1:12">
      <c r="A49" t="s">
        <v>540</v>
      </c>
      <c r="B49">
        <v>0.20599999999999999</v>
      </c>
      <c r="C49">
        <v>6.3E-2</v>
      </c>
      <c r="D49" s="14">
        <v>9.0999999999999998E-2</v>
      </c>
      <c r="E49">
        <v>0.115</v>
      </c>
      <c r="F49">
        <v>8.9999999999999993E-3</v>
      </c>
      <c r="H49">
        <f>B49*0.84</f>
        <v>0.17303999999999997</v>
      </c>
      <c r="I49">
        <f t="shared" ref="I49:L60" si="2">C49*0.84</f>
        <v>5.2920000000000002E-2</v>
      </c>
      <c r="J49">
        <f t="shared" si="2"/>
        <v>7.6439999999999994E-2</v>
      </c>
      <c r="K49">
        <f t="shared" si="2"/>
        <v>9.6600000000000005E-2</v>
      </c>
      <c r="L49">
        <f t="shared" si="2"/>
        <v>7.559999999999999E-3</v>
      </c>
    </row>
    <row r="50" spans="1:12">
      <c r="A50" t="s">
        <v>541</v>
      </c>
      <c r="B50">
        <v>0.67700000000000005</v>
      </c>
      <c r="C50">
        <v>1.4999999999999999E-2</v>
      </c>
      <c r="D50" s="14">
        <v>0.14099999999999999</v>
      </c>
      <c r="E50">
        <v>0.112</v>
      </c>
      <c r="F50">
        <v>1.0999999999999999E-2</v>
      </c>
      <c r="H50">
        <f t="shared" ref="H50:H60" si="3">B50*0.84</f>
        <v>0.56867999999999996</v>
      </c>
      <c r="I50">
        <f t="shared" si="2"/>
        <v>1.2599999999999998E-2</v>
      </c>
      <c r="J50">
        <f t="shared" si="2"/>
        <v>0.11843999999999999</v>
      </c>
      <c r="K50">
        <f t="shared" si="2"/>
        <v>9.4079999999999997E-2</v>
      </c>
      <c r="L50">
        <f t="shared" si="2"/>
        <v>9.2399999999999999E-3</v>
      </c>
    </row>
    <row r="51" spans="1:12">
      <c r="A51" t="s">
        <v>542</v>
      </c>
      <c r="B51">
        <v>1.2E-2</v>
      </c>
      <c r="C51">
        <v>4.0000000000000001E-3</v>
      </c>
      <c r="D51" s="14">
        <v>4.2000000000000003E-2</v>
      </c>
      <c r="E51">
        <v>4.5999999999999999E-2</v>
      </c>
      <c r="F51">
        <v>1.7000000000000001E-2</v>
      </c>
      <c r="H51">
        <f t="shared" si="3"/>
        <v>1.008E-2</v>
      </c>
      <c r="I51">
        <f t="shared" si="2"/>
        <v>3.3600000000000001E-3</v>
      </c>
      <c r="J51">
        <f t="shared" si="2"/>
        <v>3.5279999999999999E-2</v>
      </c>
      <c r="K51">
        <f t="shared" si="2"/>
        <v>3.8640000000000001E-2</v>
      </c>
      <c r="L51">
        <f t="shared" si="2"/>
        <v>1.4280000000000001E-2</v>
      </c>
    </row>
    <row r="52" spans="1:12">
      <c r="A52" t="s">
        <v>539</v>
      </c>
      <c r="B52">
        <v>1.2E-2</v>
      </c>
      <c r="C52">
        <v>2.7E-2</v>
      </c>
      <c r="D52" s="14">
        <v>0.59599999999999997</v>
      </c>
      <c r="E52">
        <v>0.66500000000000004</v>
      </c>
      <c r="F52">
        <v>8.0000000000000002E-3</v>
      </c>
      <c r="H52">
        <f t="shared" si="3"/>
        <v>1.008E-2</v>
      </c>
      <c r="I52">
        <f t="shared" si="2"/>
        <v>2.2679999999999999E-2</v>
      </c>
      <c r="J52">
        <f t="shared" si="2"/>
        <v>0.50063999999999997</v>
      </c>
      <c r="K52">
        <f t="shared" si="2"/>
        <v>0.55859999999999999</v>
      </c>
      <c r="L52">
        <f t="shared" si="2"/>
        <v>6.7200000000000003E-3</v>
      </c>
    </row>
    <row r="53" spans="1:12">
      <c r="A53" t="s">
        <v>543</v>
      </c>
      <c r="B53">
        <v>0.67700000000000005</v>
      </c>
      <c r="C53">
        <v>1.2E-2</v>
      </c>
      <c r="D53" s="14">
        <v>0.217</v>
      </c>
      <c r="E53">
        <v>0.12</v>
      </c>
      <c r="F53">
        <v>2.5999999999999999E-2</v>
      </c>
      <c r="H53">
        <f t="shared" si="3"/>
        <v>0.56867999999999996</v>
      </c>
      <c r="I53">
        <f t="shared" si="2"/>
        <v>1.008E-2</v>
      </c>
      <c r="J53">
        <f t="shared" si="2"/>
        <v>0.18228</v>
      </c>
      <c r="K53">
        <f t="shared" si="2"/>
        <v>0.10079999999999999</v>
      </c>
      <c r="L53">
        <f t="shared" si="2"/>
        <v>2.1839999999999998E-2</v>
      </c>
    </row>
    <row r="54" spans="1:12">
      <c r="A54" t="s">
        <v>544</v>
      </c>
      <c r="B54">
        <v>0.67700000000000005</v>
      </c>
      <c r="C54">
        <v>7.0000000000000001E-3</v>
      </c>
      <c r="D54" s="14">
        <v>0.14399999999999999</v>
      </c>
      <c r="E54">
        <v>7.4999999999999997E-2</v>
      </c>
      <c r="F54">
        <v>3.0000000000000001E-3</v>
      </c>
      <c r="H54">
        <f t="shared" si="3"/>
        <v>0.56867999999999996</v>
      </c>
      <c r="I54">
        <f t="shared" si="2"/>
        <v>5.8799999999999998E-3</v>
      </c>
      <c r="J54">
        <f t="shared" si="2"/>
        <v>0.12095999999999998</v>
      </c>
      <c r="K54">
        <f t="shared" si="2"/>
        <v>6.3E-2</v>
      </c>
      <c r="L54">
        <f t="shared" si="2"/>
        <v>2.5200000000000001E-3</v>
      </c>
    </row>
    <row r="55" spans="1:12">
      <c r="A55" t="s">
        <v>545</v>
      </c>
      <c r="B55">
        <v>0.67700000000000005</v>
      </c>
      <c r="C55">
        <v>8.9999999999999993E-3</v>
      </c>
      <c r="D55" s="14">
        <v>9.0999999999999998E-2</v>
      </c>
      <c r="E55">
        <v>7.5999999999999998E-2</v>
      </c>
      <c r="F55">
        <v>0.152</v>
      </c>
      <c r="H55">
        <f t="shared" si="3"/>
        <v>0.56867999999999996</v>
      </c>
      <c r="I55">
        <f t="shared" si="2"/>
        <v>7.559999999999999E-3</v>
      </c>
      <c r="J55">
        <f t="shared" si="2"/>
        <v>7.6439999999999994E-2</v>
      </c>
      <c r="K55">
        <f t="shared" si="2"/>
        <v>6.3839999999999994E-2</v>
      </c>
      <c r="L55">
        <f t="shared" si="2"/>
        <v>0.12767999999999999</v>
      </c>
    </row>
    <row r="56" spans="1:12">
      <c r="A56" t="s">
        <v>546</v>
      </c>
      <c r="B56">
        <v>1.2E-2</v>
      </c>
      <c r="C56">
        <v>1.4E-2</v>
      </c>
      <c r="D56" s="14">
        <v>0.374</v>
      </c>
      <c r="E56">
        <v>0.48099999999999998</v>
      </c>
      <c r="F56">
        <v>3.0000000000000001E-3</v>
      </c>
      <c r="H56">
        <f t="shared" si="3"/>
        <v>1.008E-2</v>
      </c>
      <c r="I56">
        <f t="shared" si="2"/>
        <v>1.176E-2</v>
      </c>
      <c r="J56">
        <f t="shared" si="2"/>
        <v>0.31415999999999999</v>
      </c>
      <c r="K56">
        <f t="shared" si="2"/>
        <v>0.40403999999999995</v>
      </c>
      <c r="L56">
        <f t="shared" si="2"/>
        <v>2.5200000000000001E-3</v>
      </c>
    </row>
    <row r="57" spans="1:12">
      <c r="A57" t="s">
        <v>547</v>
      </c>
      <c r="B57">
        <v>1.0999999999999999E-2</v>
      </c>
      <c r="C57">
        <v>1.4999999999999999E-2</v>
      </c>
      <c r="D57" s="14">
        <v>0.67400000000000004</v>
      </c>
      <c r="E57">
        <v>0.32100000000000001</v>
      </c>
      <c r="F57">
        <v>1E-3</v>
      </c>
      <c r="H57">
        <f t="shared" si="3"/>
        <v>9.2399999999999999E-3</v>
      </c>
      <c r="I57">
        <f t="shared" si="2"/>
        <v>1.2599999999999998E-2</v>
      </c>
      <c r="J57">
        <f t="shared" si="2"/>
        <v>0.56616</v>
      </c>
      <c r="K57">
        <f t="shared" si="2"/>
        <v>0.26963999999999999</v>
      </c>
      <c r="L57">
        <f t="shared" si="2"/>
        <v>8.4000000000000003E-4</v>
      </c>
    </row>
    <row r="58" spans="1:12">
      <c r="A58" t="s">
        <v>548</v>
      </c>
      <c r="B58">
        <v>0.67700000000000005</v>
      </c>
      <c r="C58">
        <v>1.0999999999999999E-2</v>
      </c>
      <c r="D58" s="14">
        <v>0.125</v>
      </c>
      <c r="E58">
        <v>8.5999999999999993E-2</v>
      </c>
      <c r="F58">
        <v>2E-3</v>
      </c>
      <c r="H58">
        <f t="shared" si="3"/>
        <v>0.56867999999999996</v>
      </c>
      <c r="I58">
        <f t="shared" si="2"/>
        <v>9.2399999999999999E-3</v>
      </c>
      <c r="J58">
        <f t="shared" si="2"/>
        <v>0.105</v>
      </c>
      <c r="K58">
        <f t="shared" si="2"/>
        <v>7.2239999999999985E-2</v>
      </c>
      <c r="L58">
        <f t="shared" si="2"/>
        <v>1.6800000000000001E-3</v>
      </c>
    </row>
    <row r="59" spans="1:12">
      <c r="A59" t="s">
        <v>449</v>
      </c>
      <c r="B59">
        <v>1.2E-2</v>
      </c>
      <c r="C59">
        <v>1.7000000000000001E-2</v>
      </c>
      <c r="D59" s="14">
        <v>0.109</v>
      </c>
      <c r="E59">
        <v>9.9000000000000005E-2</v>
      </c>
      <c r="F59">
        <v>4.0000000000000001E-3</v>
      </c>
      <c r="H59">
        <f t="shared" si="3"/>
        <v>1.008E-2</v>
      </c>
      <c r="I59">
        <f t="shared" si="2"/>
        <v>1.4280000000000001E-2</v>
      </c>
      <c r="J59">
        <f t="shared" si="2"/>
        <v>9.1560000000000002E-2</v>
      </c>
      <c r="K59">
        <f t="shared" si="2"/>
        <v>8.3159999999999998E-2</v>
      </c>
      <c r="L59">
        <f t="shared" si="2"/>
        <v>3.3600000000000001E-3</v>
      </c>
    </row>
    <row r="60" spans="1:12">
      <c r="A60" t="s">
        <v>214</v>
      </c>
      <c r="B60">
        <v>3.0000000000000001E-3</v>
      </c>
      <c r="C60">
        <v>7.0000000000000001E-3</v>
      </c>
      <c r="D60" s="14">
        <v>0.107</v>
      </c>
      <c r="E60">
        <v>0.1</v>
      </c>
      <c r="F60">
        <v>2.1999999999999999E-2</v>
      </c>
      <c r="H60">
        <f t="shared" si="3"/>
        <v>2.5200000000000001E-3</v>
      </c>
      <c r="I60">
        <f t="shared" si="2"/>
        <v>5.8799999999999998E-3</v>
      </c>
      <c r="J60">
        <f t="shared" si="2"/>
        <v>8.9880000000000002E-2</v>
      </c>
      <c r="K60">
        <f t="shared" si="2"/>
        <v>8.4000000000000005E-2</v>
      </c>
      <c r="L60">
        <f t="shared" si="2"/>
        <v>1.848E-2</v>
      </c>
    </row>
    <row r="61" spans="1:12">
      <c r="B61" s="1" t="s">
        <v>672</v>
      </c>
      <c r="C61" t="s">
        <v>739</v>
      </c>
    </row>
    <row r="62" spans="1:12">
      <c r="A62" t="s">
        <v>540</v>
      </c>
      <c r="B62">
        <v>5.8999999999999997E-2</v>
      </c>
      <c r="C62">
        <f>B62*0.84</f>
        <v>4.9559999999999993E-2</v>
      </c>
    </row>
    <row r="63" spans="1:12">
      <c r="A63" t="s">
        <v>541</v>
      </c>
      <c r="B63">
        <v>0.55700000000000005</v>
      </c>
      <c r="C63">
        <f t="shared" ref="C63:C73" si="4">B63*0.84</f>
        <v>0.46788000000000002</v>
      </c>
    </row>
    <row r="64" spans="1:12">
      <c r="A64" t="s">
        <v>542</v>
      </c>
      <c r="B64">
        <v>3.7999999999999999E-2</v>
      </c>
      <c r="C64">
        <f t="shared" si="4"/>
        <v>3.1919999999999997E-2</v>
      </c>
    </row>
    <row r="65" spans="1:3">
      <c r="A65" t="s">
        <v>539</v>
      </c>
      <c r="B65">
        <v>0.27300000000000002</v>
      </c>
      <c r="C65">
        <f t="shared" si="4"/>
        <v>0.22932</v>
      </c>
    </row>
    <row r="66" spans="1:3">
      <c r="A66" t="s">
        <v>543</v>
      </c>
      <c r="B66">
        <v>0.69099999999999995</v>
      </c>
      <c r="C66">
        <f t="shared" si="4"/>
        <v>0.58043999999999996</v>
      </c>
    </row>
    <row r="67" spans="1:3">
      <c r="A67" t="s">
        <v>544</v>
      </c>
      <c r="B67">
        <v>0.44900000000000001</v>
      </c>
      <c r="C67">
        <f t="shared" si="4"/>
        <v>0.37716</v>
      </c>
    </row>
    <row r="68" spans="1:3">
      <c r="A68" t="s">
        <v>545</v>
      </c>
      <c r="B68">
        <v>0.42799999999999999</v>
      </c>
      <c r="C68">
        <f t="shared" si="4"/>
        <v>0.35952000000000001</v>
      </c>
    </row>
    <row r="69" spans="1:3">
      <c r="A69" t="s">
        <v>546</v>
      </c>
      <c r="B69">
        <v>0.57199999999999995</v>
      </c>
      <c r="C69">
        <f t="shared" si="4"/>
        <v>0.48047999999999996</v>
      </c>
    </row>
    <row r="70" spans="1:3">
      <c r="A70" t="s">
        <v>547</v>
      </c>
      <c r="B70">
        <v>0.24099999999999999</v>
      </c>
      <c r="C70">
        <f t="shared" si="4"/>
        <v>0.20243999999999998</v>
      </c>
    </row>
    <row r="71" spans="1:3">
      <c r="A71" t="s">
        <v>548</v>
      </c>
      <c r="B71">
        <v>0.55700000000000005</v>
      </c>
      <c r="C71">
        <f t="shared" si="4"/>
        <v>0.46788000000000002</v>
      </c>
    </row>
    <row r="72" spans="1:3">
      <c r="A72" t="s">
        <v>449</v>
      </c>
      <c r="B72">
        <v>0.379</v>
      </c>
      <c r="C72">
        <f t="shared" si="4"/>
        <v>0.31835999999999998</v>
      </c>
    </row>
    <row r="73" spans="1:3">
      <c r="A73" t="s">
        <v>214</v>
      </c>
      <c r="B73">
        <v>0.17699999999999999</v>
      </c>
      <c r="C73">
        <f t="shared" si="4"/>
        <v>0.14867999999999998</v>
      </c>
    </row>
  </sheetData>
  <phoneticPr fontId="2" type="noConversion"/>
  <hyperlinks>
    <hyperlink ref="C3" r:id="rId1" xr:uid="{1828A2A7-AE6E-C94B-9B2A-6B813559CF04}"/>
    <hyperlink ref="C29" r:id="rId2" xr:uid="{D69D1D88-2A32-754D-A0EA-62B18C9A6E6B}"/>
  </hyperlink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9EDF-BF6F-C847-81C7-13768EB2065A}">
  <dimension ref="A1:C13"/>
  <sheetViews>
    <sheetView workbookViewId="0">
      <selection activeCell="I10" sqref="I10"/>
    </sheetView>
  </sheetViews>
  <sheetFormatPr baseColWidth="10" defaultRowHeight="16"/>
  <sheetData>
    <row r="1" spans="1:3">
      <c r="A1" t="s">
        <v>536</v>
      </c>
      <c r="B1" t="s">
        <v>537</v>
      </c>
      <c r="C1" t="s">
        <v>538</v>
      </c>
    </row>
    <row r="2" spans="1:3">
      <c r="A2" t="s">
        <v>540</v>
      </c>
      <c r="B2">
        <v>149.12634</v>
      </c>
      <c r="C2">
        <v>-35.284170000000003</v>
      </c>
    </row>
    <row r="3" spans="1:3">
      <c r="A3" t="s">
        <v>541</v>
      </c>
      <c r="B3">
        <v>16.368649999999999</v>
      </c>
      <c r="C3">
        <v>48.208219999999997</v>
      </c>
    </row>
    <row r="4" spans="1:3">
      <c r="A4" t="s">
        <v>542</v>
      </c>
      <c r="B4">
        <v>-47.89273</v>
      </c>
      <c r="C4">
        <v>-15.79753</v>
      </c>
    </row>
    <row r="5" spans="1:3">
      <c r="A5" t="s">
        <v>539</v>
      </c>
      <c r="B5">
        <v>116.42214</v>
      </c>
      <c r="C5">
        <v>39.912089999999999</v>
      </c>
    </row>
    <row r="6" spans="1:3">
      <c r="A6" t="s">
        <v>543</v>
      </c>
      <c r="B6">
        <v>14.447760000000001</v>
      </c>
      <c r="C6">
        <v>50.078499999999998</v>
      </c>
    </row>
    <row r="7" spans="1:3">
      <c r="A7" t="s">
        <v>544</v>
      </c>
      <c r="B7">
        <v>13.40756</v>
      </c>
      <c r="C7">
        <v>52.519269999999999</v>
      </c>
    </row>
    <row r="8" spans="1:3">
      <c r="A8" t="s">
        <v>545</v>
      </c>
      <c r="B8">
        <v>12.48724</v>
      </c>
      <c r="C8">
        <v>41.896149999999999</v>
      </c>
    </row>
    <row r="9" spans="1:3">
      <c r="A9" t="s">
        <v>546</v>
      </c>
      <c r="B9">
        <v>139.77787000000001</v>
      </c>
      <c r="C9">
        <v>35.703960000000002</v>
      </c>
    </row>
    <row r="10" spans="1:3">
      <c r="A10" t="s">
        <v>547</v>
      </c>
      <c r="B10">
        <v>126.98443</v>
      </c>
      <c r="C10">
        <v>37.555509999999998</v>
      </c>
    </row>
    <row r="11" spans="1:3">
      <c r="A11" t="s">
        <v>548</v>
      </c>
      <c r="B11">
        <v>15.255100000000001</v>
      </c>
      <c r="C11">
        <v>54.5259</v>
      </c>
    </row>
    <row r="12" spans="1:3">
      <c r="A12" t="s">
        <v>449</v>
      </c>
      <c r="B12">
        <v>0</v>
      </c>
      <c r="C12">
        <v>0</v>
      </c>
    </row>
    <row r="13" spans="1:3">
      <c r="A13" t="s">
        <v>214</v>
      </c>
      <c r="B13">
        <v>-77.042730000000006</v>
      </c>
      <c r="C13">
        <v>38.907080000000001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Overwiew </vt:lpstr>
      <vt:lpstr>compressor production</vt:lpstr>
      <vt:lpstr>Heat Exchanger</vt:lpstr>
      <vt:lpstr>heat pump production</vt:lpstr>
      <vt:lpstr>conversion</vt:lpstr>
      <vt:lpstr>cost estimate</vt:lpstr>
      <vt:lpstr>Jobs</vt:lpstr>
      <vt:lpstr>Demand</vt:lpstr>
      <vt:lpstr>Material demand scenarion</vt:lpstr>
      <vt:lpstr>Allocation OPEX CAPEX</vt:lpstr>
      <vt:lpstr>refrigerants</vt:lpstr>
      <vt:lpstr>mining</vt:lpstr>
      <vt:lpstr>Tabelle1</vt:lpstr>
      <vt:lpstr>Refinement (material production</vt:lpstr>
      <vt:lpstr>Transportation</vt:lpstr>
      <vt:lpstr>set_nodes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Kriwan  Fiona</dc:creator>
  <cp:lastModifiedBy>Kriwan  Fiona</cp:lastModifiedBy>
  <dcterms:created xsi:type="dcterms:W3CDTF">2024-10-02T12:05:15Z</dcterms:created>
  <dcterms:modified xsi:type="dcterms:W3CDTF">2024-12-20T17:33:49Z</dcterms:modified>
</cp:coreProperties>
</file>